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9.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0.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2.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6.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9.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0.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1.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2.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3.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6.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7.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8.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9.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https://svela-my.sharepoint.com/personal/eva_bjorkas_slf_fi/Documents/Arbeten/HortiHub projektet/"/>
    </mc:Choice>
  </mc:AlternateContent>
  <xr:revisionPtr revIDLastSave="0" documentId="8_{FF5B329D-13B3-4C9A-AA2B-BCB483310FC6}" xr6:coauthVersionLast="47" xr6:coauthVersionMax="47" xr10:uidLastSave="{00000000-0000-0000-0000-000000000000}"/>
  <bookViews>
    <workbookView xWindow="-108" yWindow="-108" windowWidth="23256" windowHeight="12576" tabRatio="966" xr2:uid="{00000000-000D-0000-FFFF-FFFF00000000}"/>
  </bookViews>
  <sheets>
    <sheet name="INLEDNING" sheetId="40" r:id="rId1"/>
    <sheet name="Gårdens info" sheetId="27" r:id="rId2"/>
    <sheet name="Hela gårdens lönsamhet" sheetId="30" r:id="rId3"/>
    <sheet name="Matpotatis" sheetId="46" r:id="rId4"/>
    <sheet name="Morot" sheetId="34" r:id="rId5"/>
    <sheet name="Kål" sheetId="33" r:id="rId6"/>
    <sheet name="Förkultivering av kål" sheetId="47" r:id="rId7"/>
    <sheet name="Insektsnät" sheetId="49" r:id="rId8"/>
    <sheet name="Lök" sheetId="32" r:id="rId9"/>
    <sheet name="Sättlök" sheetId="48" r:id="rId10"/>
    <sheet name="Trädgårdsärt" sheetId="38" r:id="rId11"/>
    <sheet name="Grönsak från frö 1" sheetId="45" r:id="rId12"/>
    <sheet name="Grönsak från frö 2" sheetId="44" r:id="rId13"/>
    <sheet name="Grönsak planterad 1" sheetId="43" r:id="rId14"/>
    <sheet name="Grönsak planterad 2" sheetId="42" r:id="rId15"/>
    <sheet name="Grönsak planterad 3" sheetId="41" r:id="rId16"/>
    <sheet name="Jordgubbe friland" sheetId="20" r:id="rId17"/>
    <sheet name="Jordgubbe tunnel" sheetId="23" r:id="rId18"/>
    <sheet name="Hallon friland" sheetId="21" r:id="rId19"/>
    <sheet name="Hallon tunnel" sheetId="24" r:id="rId20"/>
    <sheet name="Svarta vinbär" sheetId="25" r:id="rId21"/>
    <sheet name="Buskblåbär" sheetId="22" r:id="rId22"/>
    <sheet name="Äpple" sheetId="26" r:id="rId23"/>
    <sheet name="Havre" sheetId="29" r:id="rId24"/>
    <sheet name="Korn" sheetId="35" r:id="rId25"/>
    <sheet name="Vete" sheetId="36" r:id="rId26"/>
    <sheet name="Höstråg" sheetId="39" r:id="rId27"/>
    <sheet name="Naturvårdsåker" sheetId="28" r:id="rId28"/>
    <sheet name="Vall" sheetId="37" r:id="rId29"/>
    <sheet name="Egendom" sheetId="4" r:id="rId30"/>
    <sheet name="Stöd" sheetId="31" r:id="rId31"/>
  </sheets>
  <definedNames>
    <definedName name="Annat_område">'Gårdens info'!$G$57</definedName>
    <definedName name="HÄRIFRÅN_KOMMER_DU_TILL_KALKYLERNA">INLEDNING!$B$62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27" l="1"/>
  <c r="D49" i="27"/>
  <c r="F14" i="31"/>
  <c r="C14" i="31"/>
  <c r="L14" i="31" a="1"/>
  <c r="L14" i="31" s="1"/>
  <c r="L12" i="31" a="1"/>
  <c r="L12" i="31" s="1"/>
  <c r="L11" i="31" a="1"/>
  <c r="L11" i="31" s="1"/>
  <c r="L10" i="31" a="1"/>
  <c r="L10" i="31" s="1"/>
  <c r="L9" i="31" a="1"/>
  <c r="L9" i="31" s="1"/>
  <c r="L8" i="31" a="1"/>
  <c r="L8" i="31" s="1"/>
  <c r="L7" i="31" a="1"/>
  <c r="L7" i="31" s="1"/>
  <c r="C15" i="31" l="1"/>
  <c r="F15" i="31"/>
  <c r="L15" i="31" s="1" a="1"/>
  <c r="L15" i="31" s="1"/>
  <c r="L6" i="31" a="1"/>
  <c r="L6" i="31"/>
  <c r="K9" i="27"/>
  <c r="N58" i="4"/>
  <c r="L58" i="4"/>
  <c r="B38" i="4"/>
  <c r="B39" i="4"/>
  <c r="B40" i="4"/>
  <c r="B41" i="4"/>
  <c r="B42" i="4"/>
  <c r="B43" i="4"/>
  <c r="B44" i="4"/>
  <c r="B45" i="4"/>
  <c r="B46" i="4"/>
  <c r="B47" i="4"/>
  <c r="B48" i="4"/>
  <c r="B49" i="4"/>
  <c r="B50" i="4"/>
  <c r="B51" i="4"/>
  <c r="B52" i="4"/>
  <c r="B53" i="4"/>
  <c r="B54" i="4"/>
  <c r="B55" i="4"/>
  <c r="B56" i="4"/>
  <c r="B57" i="4"/>
  <c r="B58" i="4"/>
  <c r="B59" i="4"/>
  <c r="B60" i="4"/>
  <c r="B36" i="4"/>
  <c r="B37" i="4"/>
  <c r="B18" i="4"/>
  <c r="B19" i="4"/>
  <c r="C159" i="32"/>
  <c r="AB26" i="35" l="1"/>
  <c r="AB27" i="35"/>
  <c r="AB28" i="35"/>
  <c r="AB24" i="29"/>
  <c r="AB25" i="29"/>
  <c r="AB26" i="29"/>
  <c r="AB27" i="29"/>
  <c r="AB28" i="29"/>
  <c r="Y44" i="22"/>
  <c r="Y43" i="22"/>
  <c r="Y42" i="22"/>
  <c r="Y41" i="22"/>
  <c r="Y40" i="22"/>
  <c r="Y39" i="22"/>
  <c r="Y38" i="22"/>
  <c r="Y37" i="22"/>
  <c r="Y36" i="22"/>
  <c r="Y35" i="22"/>
  <c r="Y34" i="22"/>
  <c r="Y33" i="22"/>
  <c r="Y32" i="22"/>
  <c r="Y31" i="22"/>
  <c r="Y30" i="22"/>
  <c r="Y30" i="25"/>
  <c r="Y31" i="25"/>
  <c r="Y32" i="25"/>
  <c r="Y33" i="25"/>
  <c r="Y34" i="25"/>
  <c r="Y29" i="25"/>
  <c r="Y28" i="25"/>
  <c r="Y27" i="25"/>
  <c r="Y29" i="24"/>
  <c r="Y30" i="24"/>
  <c r="Y31" i="24"/>
  <c r="Y32" i="24"/>
  <c r="Y33" i="24"/>
  <c r="Y34" i="24"/>
  <c r="Y35" i="24"/>
  <c r="Y28" i="24"/>
  <c r="Y35" i="21"/>
  <c r="Y34" i="21"/>
  <c r="Y33" i="21"/>
  <c r="Y32" i="21"/>
  <c r="Y31" i="21"/>
  <c r="Y30" i="21"/>
  <c r="Y29" i="21"/>
  <c r="Y28" i="21"/>
  <c r="Y27" i="21"/>
  <c r="AB39" i="38"/>
  <c r="AB38" i="38"/>
  <c r="AB37" i="38"/>
  <c r="AB36" i="38"/>
  <c r="AB35" i="38"/>
  <c r="AB34" i="38"/>
  <c r="AB33" i="38"/>
  <c r="AB92" i="49"/>
  <c r="D108" i="37" l="1"/>
  <c r="D109" i="37" s="1"/>
  <c r="D108" i="28"/>
  <c r="D109" i="28" s="1"/>
  <c r="D112" i="39"/>
  <c r="D113" i="39" s="1"/>
  <c r="D113" i="36"/>
  <c r="D112" i="36"/>
  <c r="D112" i="35"/>
  <c r="D113" i="35" s="1"/>
  <c r="D411" i="22"/>
  <c r="D412" i="22" s="1"/>
  <c r="D354" i="22"/>
  <c r="D353" i="22"/>
  <c r="D260" i="22"/>
  <c r="D259" i="22"/>
  <c r="D151" i="22"/>
  <c r="D152" i="22" s="1"/>
  <c r="D320" i="25"/>
  <c r="D321" i="25" s="1"/>
  <c r="AB32" i="20"/>
  <c r="AB31" i="20"/>
  <c r="AB30" i="20"/>
  <c r="AB29" i="20"/>
  <c r="AB28" i="20"/>
  <c r="AB27" i="20"/>
  <c r="C285" i="20"/>
  <c r="C354" i="20"/>
  <c r="C236" i="49" l="1"/>
  <c r="Q81" i="49"/>
  <c r="AF34" i="49"/>
  <c r="T11" i="47"/>
  <c r="T10" i="47"/>
  <c r="T9" i="47"/>
  <c r="T8" i="47"/>
  <c r="T7" i="47"/>
  <c r="T6" i="47"/>
  <c r="AC29" i="33"/>
  <c r="B70" i="4"/>
  <c r="Q15" i="33"/>
  <c r="AB25" i="34"/>
  <c r="AB25" i="46"/>
  <c r="B15" i="4"/>
  <c r="I86" i="4"/>
  <c r="DK86" i="4"/>
  <c r="AC88" i="4"/>
  <c r="AC89" i="4"/>
  <c r="AC87" i="4"/>
  <c r="AJ86" i="4"/>
  <c r="C230" i="49"/>
  <c r="L246" i="49"/>
  <c r="H246" i="49"/>
  <c r="C246" i="49"/>
  <c r="L245" i="49"/>
  <c r="H245" i="49"/>
  <c r="C245" i="49"/>
  <c r="L244" i="49"/>
  <c r="H244" i="49"/>
  <c r="C244" i="49"/>
  <c r="L243" i="49"/>
  <c r="H243" i="49"/>
  <c r="C243" i="49"/>
  <c r="L242" i="49"/>
  <c r="H242" i="49"/>
  <c r="C242" i="49"/>
  <c r="L241" i="49"/>
  <c r="H241" i="49"/>
  <c r="C241" i="49"/>
  <c r="L240" i="49"/>
  <c r="H240" i="49"/>
  <c r="C240" i="49"/>
  <c r="L239" i="49"/>
  <c r="H239" i="49"/>
  <c r="C239" i="49"/>
  <c r="L238" i="49"/>
  <c r="H238" i="49"/>
  <c r="C238" i="49"/>
  <c r="L237" i="49"/>
  <c r="H237" i="49"/>
  <c r="C237" i="49"/>
  <c r="L236" i="49"/>
  <c r="H236" i="49"/>
  <c r="L235" i="49"/>
  <c r="H235" i="49"/>
  <c r="L234" i="49"/>
  <c r="H234" i="49"/>
  <c r="L233" i="49"/>
  <c r="H233" i="49"/>
  <c r="L232" i="49"/>
  <c r="H232" i="49"/>
  <c r="L231" i="49"/>
  <c r="H231" i="49"/>
  <c r="L230" i="49"/>
  <c r="H230" i="49"/>
  <c r="L229" i="49"/>
  <c r="H229" i="49"/>
  <c r="L228" i="49"/>
  <c r="H228" i="49"/>
  <c r="L227" i="49"/>
  <c r="H227" i="49"/>
  <c r="L226" i="49"/>
  <c r="H226" i="49"/>
  <c r="L225" i="49"/>
  <c r="H225" i="49"/>
  <c r="L224" i="49"/>
  <c r="H224" i="49"/>
  <c r="L223" i="49"/>
  <c r="H223" i="49"/>
  <c r="C223" i="49"/>
  <c r="L222" i="49"/>
  <c r="H222" i="49"/>
  <c r="C222" i="49"/>
  <c r="L221" i="49"/>
  <c r="H221" i="49"/>
  <c r="L220" i="49"/>
  <c r="H220" i="49"/>
  <c r="J209" i="49"/>
  <c r="J208" i="49"/>
  <c r="J207" i="49"/>
  <c r="J206" i="49"/>
  <c r="J205" i="49"/>
  <c r="J203" i="49"/>
  <c r="J197" i="49"/>
  <c r="J196" i="49"/>
  <c r="J195" i="49"/>
  <c r="J189" i="49"/>
  <c r="J188" i="49"/>
  <c r="F187" i="49"/>
  <c r="J187" i="49" s="1"/>
  <c r="F181" i="49"/>
  <c r="J181" i="49" s="1"/>
  <c r="F180" i="49"/>
  <c r="J180" i="49" s="1"/>
  <c r="F179" i="49"/>
  <c r="J179" i="49" s="1"/>
  <c r="F178" i="49"/>
  <c r="J178" i="49" s="1"/>
  <c r="F177" i="49"/>
  <c r="J177" i="49" s="1"/>
  <c r="F176" i="49"/>
  <c r="J176" i="49" s="1"/>
  <c r="F175" i="49"/>
  <c r="J175" i="49" s="1"/>
  <c r="F174" i="49"/>
  <c r="J174" i="49" s="1"/>
  <c r="J168" i="49"/>
  <c r="J167" i="49"/>
  <c r="J166" i="49"/>
  <c r="J165" i="49"/>
  <c r="J162" i="49"/>
  <c r="J161" i="49"/>
  <c r="J160" i="49"/>
  <c r="J159" i="49"/>
  <c r="J158" i="49"/>
  <c r="J157" i="49"/>
  <c r="J149" i="49"/>
  <c r="J148" i="49"/>
  <c r="J147" i="49"/>
  <c r="J146" i="49"/>
  <c r="J145" i="49"/>
  <c r="J140" i="49"/>
  <c r="F83" i="49" s="1"/>
  <c r="J18" i="49" s="1"/>
  <c r="BC34" i="49"/>
  <c r="BB34" i="49"/>
  <c r="BA34" i="49"/>
  <c r="AZ34" i="49"/>
  <c r="AY34" i="49"/>
  <c r="AX34" i="49"/>
  <c r="AW34" i="49"/>
  <c r="AV34" i="49"/>
  <c r="AU34" i="49"/>
  <c r="AT34" i="49"/>
  <c r="AS34" i="49"/>
  <c r="AR34" i="49"/>
  <c r="AQ34" i="49"/>
  <c r="AP34" i="49"/>
  <c r="AO34" i="49"/>
  <c r="AN34" i="49"/>
  <c r="AM34" i="49"/>
  <c r="AL34" i="49"/>
  <c r="AK34" i="49"/>
  <c r="AJ34" i="49"/>
  <c r="AI34" i="49"/>
  <c r="AH34" i="49"/>
  <c r="AG34" i="49"/>
  <c r="BD33" i="49"/>
  <c r="F246" i="49" s="1"/>
  <c r="AB99" i="49"/>
  <c r="BD32" i="49"/>
  <c r="F245" i="49" s="1"/>
  <c r="AB98" i="49"/>
  <c r="BD31" i="49"/>
  <c r="F244" i="49" s="1"/>
  <c r="AB97" i="49"/>
  <c r="BD30" i="49"/>
  <c r="F243" i="49" s="1"/>
  <c r="AB96" i="49"/>
  <c r="BD29" i="49"/>
  <c r="F242" i="49" s="1"/>
  <c r="AB95" i="49"/>
  <c r="BD28" i="49"/>
  <c r="F241" i="49" s="1"/>
  <c r="AB94" i="49"/>
  <c r="BD27" i="49"/>
  <c r="F240" i="49" s="1"/>
  <c r="AB93" i="49"/>
  <c r="BD26" i="49"/>
  <c r="F239" i="49" s="1"/>
  <c r="BD25" i="49"/>
  <c r="F238" i="49" s="1"/>
  <c r="BD24" i="49"/>
  <c r="F237" i="49" s="1"/>
  <c r="BD23" i="49"/>
  <c r="F236" i="49" s="1"/>
  <c r="BD22" i="49"/>
  <c r="J235" i="49" s="1"/>
  <c r="BD21" i="49"/>
  <c r="F234" i="49" s="1"/>
  <c r="BD20" i="49"/>
  <c r="J233" i="49" s="1"/>
  <c r="BD19" i="49"/>
  <c r="F232" i="49" s="1"/>
  <c r="S85" i="49"/>
  <c r="O86" i="49" s="1"/>
  <c r="BD18" i="49"/>
  <c r="J231" i="49" s="1"/>
  <c r="O84" i="49"/>
  <c r="BD17" i="49"/>
  <c r="J230" i="49" s="1"/>
  <c r="O83" i="49"/>
  <c r="BD16" i="49"/>
  <c r="F229" i="49" s="1"/>
  <c r="O82" i="49"/>
  <c r="BD15" i="49"/>
  <c r="F228" i="49" s="1"/>
  <c r="BD14" i="49"/>
  <c r="F227" i="49" s="1"/>
  <c r="BD13" i="49"/>
  <c r="F226" i="49" s="1"/>
  <c r="BD12" i="49"/>
  <c r="F225" i="49" s="1"/>
  <c r="BD11" i="49"/>
  <c r="F224" i="49" s="1"/>
  <c r="BD10" i="49"/>
  <c r="F223" i="49" s="1"/>
  <c r="H76" i="49"/>
  <c r="F76" i="49" s="1"/>
  <c r="J76" i="49" s="1"/>
  <c r="BD9" i="49"/>
  <c r="F222" i="49" s="1"/>
  <c r="BD8" i="49"/>
  <c r="F221" i="49" s="1"/>
  <c r="BD7" i="49"/>
  <c r="F220" i="49" s="1"/>
  <c r="BD6" i="49"/>
  <c r="F219" i="49" s="1"/>
  <c r="F51" i="25"/>
  <c r="F27" i="24"/>
  <c r="F54" i="21"/>
  <c r="F28" i="23"/>
  <c r="F27" i="41"/>
  <c r="F27" i="42"/>
  <c r="F27" i="43"/>
  <c r="F27" i="44"/>
  <c r="F27" i="45"/>
  <c r="J11" i="49" l="1"/>
  <c r="DI86" i="4"/>
  <c r="AY86" i="4"/>
  <c r="BO86" i="4"/>
  <c r="CM86" i="4"/>
  <c r="AX86" i="4"/>
  <c r="BV86" i="4"/>
  <c r="BN86" i="4"/>
  <c r="CT86" i="4"/>
  <c r="CL86" i="4"/>
  <c r="DZ86" i="4"/>
  <c r="DR86" i="4"/>
  <c r="DJ86" i="4"/>
  <c r="BE86" i="4"/>
  <c r="AW86" i="4"/>
  <c r="AO86" i="4"/>
  <c r="CC86" i="4"/>
  <c r="BU86" i="4"/>
  <c r="BM86" i="4"/>
  <c r="DA86" i="4"/>
  <c r="CS86" i="4"/>
  <c r="CK86" i="4"/>
  <c r="DY86" i="4"/>
  <c r="DQ86" i="4"/>
  <c r="BD86" i="4"/>
  <c r="AV86" i="4"/>
  <c r="AN86" i="4"/>
  <c r="CB86" i="4"/>
  <c r="BT86" i="4"/>
  <c r="BL86" i="4"/>
  <c r="CZ86" i="4"/>
  <c r="CR86" i="4"/>
  <c r="CJ86" i="4"/>
  <c r="DX86" i="4"/>
  <c r="DP86" i="4"/>
  <c r="DH86" i="4"/>
  <c r="BG86" i="4"/>
  <c r="AQ86" i="4"/>
  <c r="BW86" i="4"/>
  <c r="DC86" i="4"/>
  <c r="EA86" i="4"/>
  <c r="BF86" i="4"/>
  <c r="AP86" i="4"/>
  <c r="CD86" i="4"/>
  <c r="DB86" i="4"/>
  <c r="BC86" i="4"/>
  <c r="AU86" i="4"/>
  <c r="AM86" i="4"/>
  <c r="CA86" i="4"/>
  <c r="BS86" i="4"/>
  <c r="BK86" i="4"/>
  <c r="CY86" i="4"/>
  <c r="CQ86" i="4"/>
  <c r="CI86" i="4"/>
  <c r="DW86" i="4"/>
  <c r="DO86" i="4"/>
  <c r="DG86" i="4"/>
  <c r="BJ86" i="4"/>
  <c r="CX86" i="4"/>
  <c r="CP86" i="4"/>
  <c r="CH86" i="4"/>
  <c r="DV86" i="4"/>
  <c r="DN86" i="4"/>
  <c r="DE86" i="4"/>
  <c r="BB86" i="4"/>
  <c r="DM86" i="4"/>
  <c r="CE86" i="4"/>
  <c r="CU86" i="4"/>
  <c r="DS86" i="4"/>
  <c r="AT86" i="4"/>
  <c r="AL86" i="4"/>
  <c r="BZ86" i="4"/>
  <c r="BR86" i="4"/>
  <c r="BA86" i="4"/>
  <c r="AS86" i="4"/>
  <c r="AK86" i="4"/>
  <c r="BY86" i="4"/>
  <c r="BQ86" i="4"/>
  <c r="BI86" i="4"/>
  <c r="CW86" i="4"/>
  <c r="CO86" i="4"/>
  <c r="CG86" i="4"/>
  <c r="DU86" i="4"/>
  <c r="BH86" i="4"/>
  <c r="AZ86" i="4"/>
  <c r="AR86" i="4"/>
  <c r="CF86" i="4"/>
  <c r="BX86" i="4"/>
  <c r="BP86" i="4"/>
  <c r="DD86" i="4"/>
  <c r="CV86" i="4"/>
  <c r="CN86" i="4"/>
  <c r="EB86" i="4"/>
  <c r="DT86" i="4"/>
  <c r="DL86" i="4"/>
  <c r="J150" i="49"/>
  <c r="F84" i="49" s="1"/>
  <c r="J19" i="49" s="1"/>
  <c r="J190" i="49"/>
  <c r="F87" i="49" s="1"/>
  <c r="J22" i="49" s="1"/>
  <c r="J223" i="49"/>
  <c r="J247" i="49" s="1"/>
  <c r="L247" i="49" s="1"/>
  <c r="F90" i="49" s="1"/>
  <c r="J25" i="49" s="1"/>
  <c r="F230" i="49"/>
  <c r="J198" i="49"/>
  <c r="F88" i="49" s="1"/>
  <c r="J169" i="49"/>
  <c r="F85" i="49" s="1"/>
  <c r="J83" i="49"/>
  <c r="H83" i="49"/>
  <c r="AC92" i="49"/>
  <c r="J182" i="49"/>
  <c r="F86" i="49" s="1"/>
  <c r="J21" i="49" s="1"/>
  <c r="F233" i="49"/>
  <c r="BD34" i="49"/>
  <c r="F235" i="49"/>
  <c r="BD29" i="34"/>
  <c r="BD30" i="34"/>
  <c r="BD31" i="34"/>
  <c r="AG32" i="34"/>
  <c r="AH32" i="34"/>
  <c r="AI32" i="34"/>
  <c r="AJ32" i="34"/>
  <c r="AK32" i="34"/>
  <c r="AL32" i="34"/>
  <c r="AM32" i="34"/>
  <c r="AN32" i="34"/>
  <c r="AO32" i="34"/>
  <c r="AP32" i="34"/>
  <c r="AQ32" i="34"/>
  <c r="AR32" i="34"/>
  <c r="AS32" i="34"/>
  <c r="AT32" i="34"/>
  <c r="AU32" i="34"/>
  <c r="AV32" i="34"/>
  <c r="AW32" i="34"/>
  <c r="AX32" i="34"/>
  <c r="AY32" i="34"/>
  <c r="AZ32" i="34"/>
  <c r="BA32" i="34"/>
  <c r="BB32" i="34"/>
  <c r="BC32" i="34"/>
  <c r="AF32" i="34"/>
  <c r="H181" i="33"/>
  <c r="L181" i="33"/>
  <c r="J181" i="33"/>
  <c r="F181" i="33"/>
  <c r="L178" i="33"/>
  <c r="L179" i="33"/>
  <c r="L180" i="33"/>
  <c r="H178" i="33"/>
  <c r="H179" i="33"/>
  <c r="H180" i="33"/>
  <c r="F178" i="33"/>
  <c r="F179" i="33"/>
  <c r="F180" i="33"/>
  <c r="C178" i="33"/>
  <c r="C179" i="33"/>
  <c r="C180" i="33"/>
  <c r="BD31" i="33"/>
  <c r="BD32" i="33"/>
  <c r="BD33" i="33"/>
  <c r="AG34" i="33"/>
  <c r="AH34" i="33"/>
  <c r="AI34" i="33"/>
  <c r="AJ34" i="33"/>
  <c r="AK34" i="33"/>
  <c r="AL34" i="33"/>
  <c r="AM34" i="33"/>
  <c r="AN34" i="33"/>
  <c r="AO34" i="33"/>
  <c r="AP34" i="33"/>
  <c r="AQ34" i="33"/>
  <c r="AR34" i="33"/>
  <c r="AS34" i="33"/>
  <c r="AT34" i="33"/>
  <c r="AU34" i="33"/>
  <c r="AV34" i="33"/>
  <c r="AW34" i="33"/>
  <c r="AX34" i="33"/>
  <c r="AY34" i="33"/>
  <c r="AZ34" i="33"/>
  <c r="BA34" i="33"/>
  <c r="BB34" i="33"/>
  <c r="BC34" i="33"/>
  <c r="AF34" i="33"/>
  <c r="L178" i="32"/>
  <c r="L179" i="32"/>
  <c r="L180" i="32"/>
  <c r="H178" i="32"/>
  <c r="H179" i="32"/>
  <c r="H180" i="32"/>
  <c r="C178" i="32"/>
  <c r="C179" i="32"/>
  <c r="C180" i="32"/>
  <c r="BD29" i="32"/>
  <c r="F178" i="32" s="1"/>
  <c r="BD30" i="32"/>
  <c r="F179" i="32" s="1"/>
  <c r="BD31" i="32"/>
  <c r="F180" i="32" s="1"/>
  <c r="AG32" i="32"/>
  <c r="AH32" i="32"/>
  <c r="AI32" i="32"/>
  <c r="AJ32" i="32"/>
  <c r="AK32" i="32"/>
  <c r="AL32" i="32"/>
  <c r="AM32" i="32"/>
  <c r="AN32" i="32"/>
  <c r="AO32" i="32"/>
  <c r="AP32" i="32"/>
  <c r="AQ32" i="32"/>
  <c r="AR32" i="32"/>
  <c r="AS32" i="32"/>
  <c r="AT32" i="32"/>
  <c r="AU32" i="32"/>
  <c r="AV32" i="32"/>
  <c r="AW32" i="32"/>
  <c r="AX32" i="32"/>
  <c r="AY32" i="32"/>
  <c r="AZ32" i="32"/>
  <c r="BA32" i="32"/>
  <c r="BB32" i="32"/>
  <c r="BC32" i="32"/>
  <c r="AF32" i="32"/>
  <c r="C355" i="20"/>
  <c r="C357" i="20"/>
  <c r="C358" i="20"/>
  <c r="C359" i="20"/>
  <c r="C353" i="20"/>
  <c r="BD60" i="20"/>
  <c r="J354" i="20" s="1"/>
  <c r="BD61" i="20"/>
  <c r="F355" i="20" s="1"/>
  <c r="BD62" i="20"/>
  <c r="F356" i="20" s="1"/>
  <c r="BD63" i="20"/>
  <c r="F357" i="20" s="1"/>
  <c r="BD64" i="20"/>
  <c r="F358" i="20" s="1"/>
  <c r="BD65" i="20"/>
  <c r="F359" i="20" s="1"/>
  <c r="BD59" i="20"/>
  <c r="F353" i="20" s="1"/>
  <c r="AG66" i="20"/>
  <c r="AH66" i="20"/>
  <c r="AI66" i="20"/>
  <c r="AJ66" i="20"/>
  <c r="AK66" i="20"/>
  <c r="AL66" i="20"/>
  <c r="AM66" i="20"/>
  <c r="AN66" i="20"/>
  <c r="AO66" i="20"/>
  <c r="AP66" i="20"/>
  <c r="AQ66" i="20"/>
  <c r="AR66" i="20"/>
  <c r="AS66" i="20"/>
  <c r="AT66" i="20"/>
  <c r="AU66" i="20"/>
  <c r="AV66" i="20"/>
  <c r="AW66" i="20"/>
  <c r="AX66" i="20"/>
  <c r="AY66" i="20"/>
  <c r="AZ66" i="20"/>
  <c r="BA66" i="20"/>
  <c r="BB66" i="20"/>
  <c r="BC66" i="20"/>
  <c r="AF66" i="20"/>
  <c r="J301" i="20"/>
  <c r="J184" i="20"/>
  <c r="L300" i="20"/>
  <c r="L293" i="20"/>
  <c r="L294" i="20"/>
  <c r="L295" i="20"/>
  <c r="L296" i="20"/>
  <c r="L297" i="20"/>
  <c r="L298" i="20"/>
  <c r="L299" i="20"/>
  <c r="H293" i="20"/>
  <c r="H294" i="20"/>
  <c r="H295" i="20"/>
  <c r="H296" i="20"/>
  <c r="H297" i="20"/>
  <c r="H298" i="20"/>
  <c r="H299" i="20"/>
  <c r="H300" i="20"/>
  <c r="BD44" i="20"/>
  <c r="F290" i="20" s="1"/>
  <c r="C300" i="20"/>
  <c r="C296" i="20"/>
  <c r="C297" i="20"/>
  <c r="C298" i="20"/>
  <c r="C299" i="20"/>
  <c r="C294" i="20"/>
  <c r="C295" i="20"/>
  <c r="C293" i="20"/>
  <c r="C292" i="20"/>
  <c r="C277" i="20"/>
  <c r="C278" i="20"/>
  <c r="C279" i="20"/>
  <c r="C280" i="20"/>
  <c r="C281" i="20"/>
  <c r="C282" i="20"/>
  <c r="C283" i="20"/>
  <c r="C284" i="20"/>
  <c r="C286" i="20"/>
  <c r="C287" i="20"/>
  <c r="C288" i="20"/>
  <c r="C289" i="20"/>
  <c r="C290" i="20"/>
  <c r="C291" i="20"/>
  <c r="C276" i="20"/>
  <c r="L283" i="20"/>
  <c r="H282" i="20"/>
  <c r="H283" i="20"/>
  <c r="H284" i="20"/>
  <c r="H285" i="20"/>
  <c r="H286" i="20"/>
  <c r="L178" i="20"/>
  <c r="H178" i="20"/>
  <c r="C181" i="20"/>
  <c r="C182" i="20"/>
  <c r="C183" i="20"/>
  <c r="BD52" i="20"/>
  <c r="F298" i="20" s="1"/>
  <c r="BD53" i="20"/>
  <c r="F299" i="20" s="1"/>
  <c r="BD54" i="20"/>
  <c r="F300" i="20" s="1"/>
  <c r="BD23" i="20"/>
  <c r="F181" i="20" s="1"/>
  <c r="BD24" i="20"/>
  <c r="F182" i="20" s="1"/>
  <c r="BD25" i="20"/>
  <c r="F183" i="20" s="1"/>
  <c r="AG26" i="20"/>
  <c r="AG55" i="20" s="1"/>
  <c r="AH26" i="20"/>
  <c r="AH55" i="20" s="1"/>
  <c r="AI26" i="20"/>
  <c r="AI55" i="20" s="1"/>
  <c r="AJ26" i="20"/>
  <c r="AJ55" i="20" s="1"/>
  <c r="AK26" i="20"/>
  <c r="AK55" i="20" s="1"/>
  <c r="AL26" i="20"/>
  <c r="AL55" i="20" s="1"/>
  <c r="AM26" i="20"/>
  <c r="AM55" i="20" s="1"/>
  <c r="AN26" i="20"/>
  <c r="AN55" i="20" s="1"/>
  <c r="AO26" i="20"/>
  <c r="AO55" i="20" s="1"/>
  <c r="AP26" i="20"/>
  <c r="AP55" i="20" s="1"/>
  <c r="AQ26" i="20"/>
  <c r="AQ55" i="20" s="1"/>
  <c r="AR26" i="20"/>
  <c r="AR55" i="20" s="1"/>
  <c r="AS26" i="20"/>
  <c r="AS55" i="20" s="1"/>
  <c r="AT26" i="20"/>
  <c r="AT55" i="20" s="1"/>
  <c r="AU26" i="20"/>
  <c r="AU55" i="20" s="1"/>
  <c r="AV26" i="20"/>
  <c r="AV55" i="20" s="1"/>
  <c r="AW26" i="20"/>
  <c r="AW55" i="20" s="1"/>
  <c r="AX26" i="20"/>
  <c r="AX55" i="20" s="1"/>
  <c r="AY26" i="20"/>
  <c r="AY55" i="20" s="1"/>
  <c r="AZ26" i="20"/>
  <c r="AZ55" i="20" s="1"/>
  <c r="BA26" i="20"/>
  <c r="BA55" i="20" s="1"/>
  <c r="BB26" i="20"/>
  <c r="BB55" i="20" s="1"/>
  <c r="BC26" i="20"/>
  <c r="BC55" i="20" s="1"/>
  <c r="AF26" i="20"/>
  <c r="AF55" i="20" s="1"/>
  <c r="C166" i="20"/>
  <c r="C167" i="20"/>
  <c r="C168" i="20"/>
  <c r="C169" i="20"/>
  <c r="C170" i="20"/>
  <c r="C171" i="20"/>
  <c r="C172" i="20"/>
  <c r="C173" i="20"/>
  <c r="C174" i="20"/>
  <c r="C175" i="20"/>
  <c r="C176" i="20"/>
  <c r="C177" i="20"/>
  <c r="C178" i="20"/>
  <c r="C179" i="20"/>
  <c r="C180" i="20"/>
  <c r="C165" i="20"/>
  <c r="BD39" i="20"/>
  <c r="F285" i="20" s="1"/>
  <c r="BD40" i="20"/>
  <c r="F286" i="20" s="1"/>
  <c r="BD41" i="20"/>
  <c r="F287" i="20" s="1"/>
  <c r="BD30" i="20"/>
  <c r="F276" i="20" s="1"/>
  <c r="BD31" i="20"/>
  <c r="F277" i="20" s="1"/>
  <c r="BD32" i="20"/>
  <c r="F278" i="20" s="1"/>
  <c r="BD33" i="20"/>
  <c r="F279" i="20" s="1"/>
  <c r="BD34" i="20"/>
  <c r="F280" i="20" s="1"/>
  <c r="BD35" i="20"/>
  <c r="F281" i="20" s="1"/>
  <c r="BD19" i="20"/>
  <c r="F177" i="20" s="1"/>
  <c r="BD20" i="20"/>
  <c r="J178" i="20" s="1"/>
  <c r="BD21" i="20"/>
  <c r="J179" i="20" s="1"/>
  <c r="BD22" i="20"/>
  <c r="F180" i="20" s="1"/>
  <c r="BD36" i="20"/>
  <c r="F282" i="20" s="1"/>
  <c r="BD13" i="20"/>
  <c r="F171" i="20" s="1"/>
  <c r="BD14" i="20"/>
  <c r="F172" i="20" s="1"/>
  <c r="BD15" i="20"/>
  <c r="F173" i="20" s="1"/>
  <c r="BD16" i="20"/>
  <c r="F174" i="20" s="1"/>
  <c r="BD17" i="20"/>
  <c r="F175" i="20" s="1"/>
  <c r="BD18" i="20"/>
  <c r="F176" i="20" s="1"/>
  <c r="BD7" i="20"/>
  <c r="F165" i="20" s="1"/>
  <c r="BD8" i="20"/>
  <c r="F166" i="20" s="1"/>
  <c r="BD51" i="20"/>
  <c r="F297" i="20" s="1"/>
  <c r="BD50" i="20"/>
  <c r="F296" i="20" s="1"/>
  <c r="BD49" i="20"/>
  <c r="F295" i="20" s="1"/>
  <c r="BD48" i="20"/>
  <c r="F294" i="20" s="1"/>
  <c r="BD47" i="20"/>
  <c r="F293" i="20" s="1"/>
  <c r="BD46" i="20"/>
  <c r="F292" i="20" s="1"/>
  <c r="BD45" i="20"/>
  <c r="F291" i="20" s="1"/>
  <c r="BD43" i="20"/>
  <c r="J289" i="20" s="1"/>
  <c r="BD42" i="20"/>
  <c r="J288" i="20" s="1"/>
  <c r="BD38" i="20"/>
  <c r="J284" i="20" s="1"/>
  <c r="BD37" i="20"/>
  <c r="F283" i="20" s="1"/>
  <c r="BD12" i="20"/>
  <c r="F170" i="20" s="1"/>
  <c r="BD11" i="20"/>
  <c r="F169" i="20" s="1"/>
  <c r="BD10" i="20"/>
  <c r="F168" i="20" s="1"/>
  <c r="BD9" i="20"/>
  <c r="F167" i="20" s="1"/>
  <c r="L172" i="32"/>
  <c r="L173" i="32"/>
  <c r="L174" i="32"/>
  <c r="L175" i="32"/>
  <c r="L176" i="32"/>
  <c r="L177" i="32"/>
  <c r="H172" i="32"/>
  <c r="H173" i="32"/>
  <c r="H174" i="32"/>
  <c r="H175" i="32"/>
  <c r="H176" i="32"/>
  <c r="H177" i="32"/>
  <c r="C177" i="32"/>
  <c r="C174" i="32"/>
  <c r="C175" i="32"/>
  <c r="C176" i="32"/>
  <c r="C172" i="32"/>
  <c r="C173" i="32"/>
  <c r="C156" i="32"/>
  <c r="C157" i="32"/>
  <c r="C158" i="32"/>
  <c r="C160" i="32"/>
  <c r="C161" i="32"/>
  <c r="C162" i="32"/>
  <c r="C163" i="32"/>
  <c r="C164" i="32"/>
  <c r="C165" i="32"/>
  <c r="C166" i="32"/>
  <c r="C167" i="32"/>
  <c r="C168" i="32"/>
  <c r="C169" i="32"/>
  <c r="C170" i="32"/>
  <c r="C171" i="32"/>
  <c r="C155" i="32"/>
  <c r="BD28" i="32"/>
  <c r="F177" i="32" s="1"/>
  <c r="BD27" i="32"/>
  <c r="F176" i="32" s="1"/>
  <c r="BD26" i="32"/>
  <c r="F175" i="32" s="1"/>
  <c r="BD25" i="32"/>
  <c r="F174" i="32" s="1"/>
  <c r="BD24" i="32"/>
  <c r="F173" i="32" s="1"/>
  <c r="BD23" i="32"/>
  <c r="F172" i="32" s="1"/>
  <c r="BD22" i="32"/>
  <c r="F171" i="32" s="1"/>
  <c r="BD21" i="32"/>
  <c r="F170" i="32" s="1"/>
  <c r="BD20" i="32"/>
  <c r="F169" i="32" s="1"/>
  <c r="BD19" i="32"/>
  <c r="J168" i="32" s="1"/>
  <c r="BD18" i="32"/>
  <c r="F167" i="32" s="1"/>
  <c r="BD17" i="32"/>
  <c r="J166" i="32" s="1"/>
  <c r="J181" i="32" s="1"/>
  <c r="L181" i="32" s="1"/>
  <c r="BD16" i="32"/>
  <c r="F165" i="32" s="1"/>
  <c r="BD15" i="32"/>
  <c r="F164" i="32" s="1"/>
  <c r="BD14" i="32"/>
  <c r="F163" i="32" s="1"/>
  <c r="BD13" i="32"/>
  <c r="F162" i="32" s="1"/>
  <c r="BD12" i="32"/>
  <c r="F161" i="32" s="1"/>
  <c r="BD11" i="32"/>
  <c r="F160" i="32" s="1"/>
  <c r="BD10" i="32"/>
  <c r="F159" i="32" s="1"/>
  <c r="BD9" i="32"/>
  <c r="F158" i="32" s="1"/>
  <c r="BD8" i="32"/>
  <c r="F157" i="32" s="1"/>
  <c r="BD7" i="32"/>
  <c r="F156" i="32" s="1"/>
  <c r="BD6" i="32"/>
  <c r="F155" i="32" s="1"/>
  <c r="C157" i="34"/>
  <c r="C158" i="34"/>
  <c r="C159" i="34"/>
  <c r="C160" i="34"/>
  <c r="C161" i="34"/>
  <c r="C162" i="34"/>
  <c r="C163" i="34"/>
  <c r="C164" i="34"/>
  <c r="C165" i="34"/>
  <c r="C166" i="34"/>
  <c r="C167" i="34"/>
  <c r="C168" i="34"/>
  <c r="C169" i="34"/>
  <c r="C170" i="34"/>
  <c r="C171" i="34"/>
  <c r="C172" i="34"/>
  <c r="C156" i="34"/>
  <c r="BD28" i="34"/>
  <c r="F178" i="34" s="1"/>
  <c r="BD27" i="34"/>
  <c r="F177" i="34" s="1"/>
  <c r="BD26" i="34"/>
  <c r="F176" i="34" s="1"/>
  <c r="BD25" i="34"/>
  <c r="F175" i="34" s="1"/>
  <c r="BD24" i="34"/>
  <c r="F174" i="34" s="1"/>
  <c r="BD23" i="34"/>
  <c r="F173" i="34" s="1"/>
  <c r="BD22" i="34"/>
  <c r="F172" i="34" s="1"/>
  <c r="BD21" i="34"/>
  <c r="J171" i="34" s="1"/>
  <c r="BD20" i="34"/>
  <c r="J170" i="34" s="1"/>
  <c r="BD19" i="34"/>
  <c r="J169" i="34" s="1"/>
  <c r="BD18" i="34"/>
  <c r="F168" i="34" s="1"/>
  <c r="BD17" i="34"/>
  <c r="F167" i="34" s="1"/>
  <c r="BD16" i="34"/>
  <c r="F166" i="34" s="1"/>
  <c r="BD15" i="34"/>
  <c r="F165" i="34" s="1"/>
  <c r="BD14" i="34"/>
  <c r="F164" i="34" s="1"/>
  <c r="BD13" i="34"/>
  <c r="F163" i="34" s="1"/>
  <c r="BD12" i="34"/>
  <c r="F162" i="34" s="1"/>
  <c r="BD11" i="34"/>
  <c r="F161" i="34" s="1"/>
  <c r="BD10" i="34"/>
  <c r="F160" i="34" s="1"/>
  <c r="BD9" i="34"/>
  <c r="F159" i="34" s="1"/>
  <c r="BD8" i="34"/>
  <c r="F158" i="34" s="1"/>
  <c r="BD7" i="34"/>
  <c r="F157" i="34" s="1"/>
  <c r="BD6" i="34"/>
  <c r="F156" i="34" s="1"/>
  <c r="L170" i="33"/>
  <c r="L171" i="33"/>
  <c r="L172" i="33"/>
  <c r="L173" i="33"/>
  <c r="L174" i="33"/>
  <c r="L175" i="33"/>
  <c r="L176" i="33"/>
  <c r="L177" i="33"/>
  <c r="H170" i="33"/>
  <c r="H171" i="33"/>
  <c r="H172" i="33"/>
  <c r="H173" i="33"/>
  <c r="H174" i="33"/>
  <c r="H175" i="33"/>
  <c r="H176" i="33"/>
  <c r="H177" i="33"/>
  <c r="C177" i="33"/>
  <c r="C154" i="33"/>
  <c r="C155" i="33"/>
  <c r="C156" i="33"/>
  <c r="C157" i="33"/>
  <c r="C158" i="33"/>
  <c r="C159" i="33"/>
  <c r="C160" i="33"/>
  <c r="C161" i="33"/>
  <c r="C162" i="33"/>
  <c r="C163" i="33"/>
  <c r="C164" i="33"/>
  <c r="C165" i="33"/>
  <c r="C166" i="33"/>
  <c r="C167" i="33"/>
  <c r="C168" i="33"/>
  <c r="C169" i="33"/>
  <c r="C170" i="33"/>
  <c r="C171" i="33"/>
  <c r="C172" i="33"/>
  <c r="C173" i="33"/>
  <c r="C174" i="33"/>
  <c r="C175" i="33"/>
  <c r="C176" i="33"/>
  <c r="C153" i="33"/>
  <c r="BD23" i="33"/>
  <c r="F170" i="33" s="1"/>
  <c r="BD18" i="33"/>
  <c r="J165" i="33" s="1"/>
  <c r="BD30" i="33"/>
  <c r="F177" i="33" s="1"/>
  <c r="BD25" i="33"/>
  <c r="F172" i="33" s="1"/>
  <c r="BD26" i="33"/>
  <c r="F173" i="33" s="1"/>
  <c r="BD27" i="33"/>
  <c r="F174" i="33" s="1"/>
  <c r="BD28" i="33"/>
  <c r="F175" i="33" s="1"/>
  <c r="BD29" i="33"/>
  <c r="F176" i="33" s="1"/>
  <c r="BD22" i="33"/>
  <c r="F169" i="33" s="1"/>
  <c r="BD7" i="33"/>
  <c r="F154" i="33" s="1"/>
  <c r="BD8" i="33"/>
  <c r="F155" i="33" s="1"/>
  <c r="BD9" i="33"/>
  <c r="F156" i="33" s="1"/>
  <c r="BD10" i="33"/>
  <c r="J157" i="33" s="1"/>
  <c r="BD11" i="33"/>
  <c r="F158" i="33" s="1"/>
  <c r="BD12" i="33"/>
  <c r="F159" i="33" s="1"/>
  <c r="BD13" i="33"/>
  <c r="F160" i="33" s="1"/>
  <c r="BD14" i="33"/>
  <c r="F161" i="33" s="1"/>
  <c r="BD15" i="33"/>
  <c r="F162" i="33" s="1"/>
  <c r="BD16" i="33"/>
  <c r="F163" i="33" s="1"/>
  <c r="BD17" i="33"/>
  <c r="F164" i="33" s="1"/>
  <c r="BD19" i="33"/>
  <c r="F166" i="33" s="1"/>
  <c r="BD20" i="33"/>
  <c r="F167" i="33" s="1"/>
  <c r="BD21" i="33"/>
  <c r="F168" i="33" s="1"/>
  <c r="BD24" i="33"/>
  <c r="F171" i="33" s="1"/>
  <c r="BD6" i="33"/>
  <c r="F153" i="33" s="1"/>
  <c r="AB78" i="4"/>
  <c r="AB68" i="4"/>
  <c r="AB67" i="4"/>
  <c r="Z82" i="4"/>
  <c r="Z81" i="4"/>
  <c r="Z78" i="4"/>
  <c r="Z76" i="4"/>
  <c r="Z68" i="4"/>
  <c r="Z67" i="4"/>
  <c r="Y78" i="4"/>
  <c r="Y76" i="4"/>
  <c r="Y68" i="4"/>
  <c r="Y67" i="4"/>
  <c r="X82" i="4"/>
  <c r="X81" i="4"/>
  <c r="X78" i="4"/>
  <c r="X76" i="4"/>
  <c r="X68" i="4"/>
  <c r="X67" i="4"/>
  <c r="W76" i="4"/>
  <c r="W68" i="4"/>
  <c r="W67" i="4"/>
  <c r="Q83" i="4"/>
  <c r="AC83" i="4"/>
  <c r="AB83" i="4"/>
  <c r="AA83" i="4"/>
  <c r="Z83" i="4"/>
  <c r="Y83" i="4"/>
  <c r="X83" i="4"/>
  <c r="W83" i="4"/>
  <c r="V83" i="4"/>
  <c r="U83" i="4"/>
  <c r="T83" i="4"/>
  <c r="S83" i="4"/>
  <c r="R83" i="4"/>
  <c r="P83" i="4"/>
  <c r="O83" i="4"/>
  <c r="N83" i="4"/>
  <c r="L83" i="4"/>
  <c r="I83" i="4"/>
  <c r="AI37" i="4"/>
  <c r="BH37" i="4" s="1"/>
  <c r="AH37" i="4"/>
  <c r="CE37" i="4" s="1"/>
  <c r="AG37" i="4"/>
  <c r="CD37" i="4" s="1"/>
  <c r="AF37" i="4"/>
  <c r="CC37" i="4" s="1"/>
  <c r="AE37" i="4"/>
  <c r="DX37" i="4" s="1"/>
  <c r="AD37" i="4"/>
  <c r="DW37" i="4" s="1"/>
  <c r="AC37" i="4"/>
  <c r="DV37" i="4" s="1"/>
  <c r="AB37" i="4"/>
  <c r="BY37" i="4" s="1"/>
  <c r="AA37" i="4"/>
  <c r="DT37" i="4" s="1"/>
  <c r="Z37" i="4"/>
  <c r="CU37" i="4" s="1"/>
  <c r="Y37" i="4"/>
  <c r="CT37" i="4" s="1"/>
  <c r="X37" i="4"/>
  <c r="CS37" i="4" s="1"/>
  <c r="W37" i="4"/>
  <c r="DP37" i="4" s="1"/>
  <c r="V37" i="4"/>
  <c r="DO37" i="4" s="1"/>
  <c r="U37" i="4"/>
  <c r="DN37" i="4" s="1"/>
  <c r="T37" i="4"/>
  <c r="CO37" i="4" s="1"/>
  <c r="S37" i="4"/>
  <c r="BP37" i="4" s="1"/>
  <c r="R37" i="4"/>
  <c r="DK37" i="4" s="1"/>
  <c r="Q37" i="4"/>
  <c r="CL37" i="4" s="1"/>
  <c r="P37" i="4"/>
  <c r="BM37" i="4" s="1"/>
  <c r="O37" i="4"/>
  <c r="DH37" i="4" s="1"/>
  <c r="N37" i="4"/>
  <c r="DG37" i="4" s="1"/>
  <c r="M37" i="4"/>
  <c r="CH37" i="4" s="1"/>
  <c r="L37" i="4"/>
  <c r="P41" i="4"/>
  <c r="Q41" i="4"/>
  <c r="P44" i="4"/>
  <c r="O44" i="4"/>
  <c r="P18" i="4"/>
  <c r="O17" i="4"/>
  <c r="P17" i="4"/>
  <c r="O18" i="4"/>
  <c r="I18" i="4"/>
  <c r="F43" i="30"/>
  <c r="F70" i="30" s="1"/>
  <c r="F97" i="30" s="1"/>
  <c r="F12" i="30"/>
  <c r="DI36" i="4"/>
  <c r="CK36" i="4"/>
  <c r="BM36" i="4"/>
  <c r="AO36" i="4"/>
  <c r="M19" i="4"/>
  <c r="H9" i="48"/>
  <c r="F9" i="48" s="1"/>
  <c r="F23" i="48"/>
  <c r="J23" i="48" s="1"/>
  <c r="F21" i="48"/>
  <c r="H21" i="48" s="1"/>
  <c r="F17" i="48"/>
  <c r="H17" i="48" s="1"/>
  <c r="K13" i="27"/>
  <c r="K14" i="27"/>
  <c r="K15" i="27"/>
  <c r="K16" i="27"/>
  <c r="EB37" i="4" l="1"/>
  <c r="BD32" i="34"/>
  <c r="F179" i="34" s="1"/>
  <c r="H179" i="34" s="1"/>
  <c r="F60" i="34" s="1"/>
  <c r="H84" i="49"/>
  <c r="J84" i="49"/>
  <c r="AC93" i="49"/>
  <c r="AC94" i="49"/>
  <c r="J20" i="49"/>
  <c r="AC97" i="49"/>
  <c r="J23" i="49"/>
  <c r="AC96" i="49"/>
  <c r="H87" i="49"/>
  <c r="J87" i="49"/>
  <c r="DI18" i="4"/>
  <c r="AJ18" i="4"/>
  <c r="H88" i="49"/>
  <c r="J88" i="49"/>
  <c r="F247" i="49"/>
  <c r="H247" i="49" s="1"/>
  <c r="F127" i="49" s="1"/>
  <c r="J62" i="49" s="1"/>
  <c r="H85" i="49"/>
  <c r="J85" i="49"/>
  <c r="J86" i="49"/>
  <c r="H86" i="49"/>
  <c r="AC95" i="49"/>
  <c r="AC99" i="49"/>
  <c r="H90" i="49"/>
  <c r="J90" i="49"/>
  <c r="DL37" i="4"/>
  <c r="EA37" i="4"/>
  <c r="DS37" i="4"/>
  <c r="CN37" i="4"/>
  <c r="CM37" i="4"/>
  <c r="J179" i="34"/>
  <c r="L179" i="34" s="1"/>
  <c r="F23" i="34" s="1"/>
  <c r="F170" i="34"/>
  <c r="BD34" i="33"/>
  <c r="J167" i="33"/>
  <c r="J169" i="33"/>
  <c r="F24" i="33" s="1"/>
  <c r="F25" i="49" s="1"/>
  <c r="BD32" i="32"/>
  <c r="F166" i="32"/>
  <c r="F181" i="32" s="1"/>
  <c r="F168" i="32"/>
  <c r="J302" i="20"/>
  <c r="L302" i="20" s="1"/>
  <c r="BD66" i="20"/>
  <c r="J172" i="20"/>
  <c r="J185" i="20" s="1"/>
  <c r="L185" i="20" s="1"/>
  <c r="F21" i="20" s="1"/>
  <c r="F185" i="20"/>
  <c r="H185" i="20" s="1"/>
  <c r="F90" i="20" s="1"/>
  <c r="BD55" i="20"/>
  <c r="BD26" i="20"/>
  <c r="BG37" i="4"/>
  <c r="CF37" i="4"/>
  <c r="BW37" i="4"/>
  <c r="F169" i="34"/>
  <c r="F171" i="34"/>
  <c r="AP37" i="4"/>
  <c r="BX37" i="4"/>
  <c r="F157" i="33"/>
  <c r="DC37" i="4"/>
  <c r="AR37" i="4"/>
  <c r="BF37" i="4"/>
  <c r="BV37" i="4"/>
  <c r="AZ37" i="4"/>
  <c r="DB37" i="4"/>
  <c r="AQ37" i="4"/>
  <c r="CV37" i="4"/>
  <c r="BE37" i="4"/>
  <c r="BA37" i="4"/>
  <c r="DD37" i="4"/>
  <c r="DR37" i="4"/>
  <c r="DZ37" i="4"/>
  <c r="BU37" i="4"/>
  <c r="AX37" i="4"/>
  <c r="BN37" i="4"/>
  <c r="DY37" i="4"/>
  <c r="CK37" i="4"/>
  <c r="DQ37" i="4"/>
  <c r="AO37" i="4"/>
  <c r="DA37" i="4"/>
  <c r="DJ37" i="4"/>
  <c r="AY37" i="4"/>
  <c r="BO37" i="4"/>
  <c r="DI37" i="4"/>
  <c r="AW37" i="4"/>
  <c r="AJ83" i="4"/>
  <c r="AJ37" i="4"/>
  <c r="AK37" i="4"/>
  <c r="BQ37" i="4"/>
  <c r="BI37" i="4"/>
  <c r="AS37" i="4"/>
  <c r="DU37" i="4"/>
  <c r="DM37" i="4"/>
  <c r="CG37" i="4"/>
  <c r="CW37" i="4"/>
  <c r="BD18" i="4"/>
  <c r="DE37" i="4"/>
  <c r="DF37" i="4"/>
  <c r="BD37" i="4"/>
  <c r="AV37" i="4"/>
  <c r="AN37" i="4"/>
  <c r="CB37" i="4"/>
  <c r="BT37" i="4"/>
  <c r="BL37" i="4"/>
  <c r="CZ37" i="4"/>
  <c r="CR37" i="4"/>
  <c r="CJ37" i="4"/>
  <c r="BC37" i="4"/>
  <c r="AU37" i="4"/>
  <c r="AM37" i="4"/>
  <c r="CA37" i="4"/>
  <c r="BS37" i="4"/>
  <c r="BK37" i="4"/>
  <c r="CY37" i="4"/>
  <c r="CQ37" i="4"/>
  <c r="CI37" i="4"/>
  <c r="BB37" i="4"/>
  <c r="AT37" i="4"/>
  <c r="AL37" i="4"/>
  <c r="BZ37" i="4"/>
  <c r="BR37" i="4"/>
  <c r="BJ37" i="4"/>
  <c r="CX37" i="4"/>
  <c r="CP37" i="4"/>
  <c r="DV18" i="4"/>
  <c r="AN18" i="4"/>
  <c r="BT18" i="4"/>
  <c r="CZ18" i="4"/>
  <c r="AU18" i="4"/>
  <c r="CA18" i="4"/>
  <c r="BK18" i="4"/>
  <c r="CQ18" i="4"/>
  <c r="DO18" i="4"/>
  <c r="BB18" i="4"/>
  <c r="AT18" i="4"/>
  <c r="AL18" i="4"/>
  <c r="BZ18" i="4"/>
  <c r="BR18" i="4"/>
  <c r="BJ18" i="4"/>
  <c r="CX18" i="4"/>
  <c r="CP18" i="4"/>
  <c r="CH18" i="4"/>
  <c r="DN18" i="4"/>
  <c r="DF18" i="4"/>
  <c r="BA18" i="4"/>
  <c r="AS18" i="4"/>
  <c r="AK18" i="4"/>
  <c r="BY18" i="4"/>
  <c r="BQ18" i="4"/>
  <c r="BI18" i="4"/>
  <c r="CW18" i="4"/>
  <c r="CO18" i="4"/>
  <c r="CG18" i="4"/>
  <c r="DU18" i="4"/>
  <c r="DM18" i="4"/>
  <c r="DE18" i="4"/>
  <c r="BH18" i="4"/>
  <c r="AZ18" i="4"/>
  <c r="AR18" i="4"/>
  <c r="CF18" i="4"/>
  <c r="BX18" i="4"/>
  <c r="BP18" i="4"/>
  <c r="DD18" i="4"/>
  <c r="CV18" i="4"/>
  <c r="CN18" i="4"/>
  <c r="EB18" i="4"/>
  <c r="DT18" i="4"/>
  <c r="DL18" i="4"/>
  <c r="BG18" i="4"/>
  <c r="AY18" i="4"/>
  <c r="AQ18" i="4"/>
  <c r="CE18" i="4"/>
  <c r="BW18" i="4"/>
  <c r="BO18" i="4"/>
  <c r="DC18" i="4"/>
  <c r="CU18" i="4"/>
  <c r="CM18" i="4"/>
  <c r="EA18" i="4"/>
  <c r="DS18" i="4"/>
  <c r="DK18" i="4"/>
  <c r="BV18" i="4"/>
  <c r="DB18" i="4"/>
  <c r="DZ18" i="4"/>
  <c r="DJ18" i="4"/>
  <c r="AV18" i="4"/>
  <c r="CB18" i="4"/>
  <c r="BL18" i="4"/>
  <c r="CR18" i="4"/>
  <c r="CJ18" i="4"/>
  <c r="DX18" i="4"/>
  <c r="DP18" i="4"/>
  <c r="DH18" i="4"/>
  <c r="BC18" i="4"/>
  <c r="AM18" i="4"/>
  <c r="BS18" i="4"/>
  <c r="CY18" i="4"/>
  <c r="CI18" i="4"/>
  <c r="DW18" i="4"/>
  <c r="DG18" i="4"/>
  <c r="BF18" i="4"/>
  <c r="AX18" i="4"/>
  <c r="AP18" i="4"/>
  <c r="CD18" i="4"/>
  <c r="BN18" i="4"/>
  <c r="CT18" i="4"/>
  <c r="CL18" i="4"/>
  <c r="DR18" i="4"/>
  <c r="BE18" i="4"/>
  <c r="AW18" i="4"/>
  <c r="AO18" i="4"/>
  <c r="CC18" i="4"/>
  <c r="BU18" i="4"/>
  <c r="BM18" i="4"/>
  <c r="DA18" i="4"/>
  <c r="CS18" i="4"/>
  <c r="CK18" i="4"/>
  <c r="DY18" i="4"/>
  <c r="DQ18" i="4"/>
  <c r="H23" i="48"/>
  <c r="J17" i="48"/>
  <c r="J21" i="48"/>
  <c r="F151" i="30"/>
  <c r="F124" i="30"/>
  <c r="H12" i="30"/>
  <c r="J9" i="48"/>
  <c r="J12" i="30" s="1"/>
  <c r="D204" i="49" l="1"/>
  <c r="F204" i="49" s="1"/>
  <c r="J204" i="49" s="1"/>
  <c r="J210" i="49" s="1"/>
  <c r="F89" i="49" s="1"/>
  <c r="J24" i="49" s="1"/>
  <c r="F129" i="49"/>
  <c r="J127" i="49"/>
  <c r="J129" i="49" s="1"/>
  <c r="H127" i="49"/>
  <c r="H129" i="49" s="1"/>
  <c r="F61" i="33"/>
  <c r="F62" i="49" s="1"/>
  <c r="D138" i="33"/>
  <c r="D205" i="49" l="1"/>
  <c r="AC106" i="49"/>
  <c r="J64" i="49"/>
  <c r="J89" i="49"/>
  <c r="J91" i="49" s="1"/>
  <c r="H89" i="49"/>
  <c r="H91" i="49" s="1"/>
  <c r="AC98" i="49"/>
  <c r="F91" i="49"/>
  <c r="J171" i="48"/>
  <c r="L171" i="48" s="1"/>
  <c r="F171" i="48"/>
  <c r="H171" i="48" s="1"/>
  <c r="F60" i="48" s="1"/>
  <c r="L170" i="48"/>
  <c r="H170" i="48"/>
  <c r="L169" i="48"/>
  <c r="H169" i="48"/>
  <c r="L168" i="48"/>
  <c r="H168" i="48"/>
  <c r="L167" i="48"/>
  <c r="H167" i="48"/>
  <c r="L166" i="48"/>
  <c r="H166" i="48"/>
  <c r="L165" i="48"/>
  <c r="H165" i="48"/>
  <c r="L164" i="48"/>
  <c r="H164" i="48"/>
  <c r="L163" i="48"/>
  <c r="H163" i="48"/>
  <c r="L162" i="48"/>
  <c r="H162" i="48"/>
  <c r="L161" i="48"/>
  <c r="H161" i="48"/>
  <c r="L160" i="48"/>
  <c r="H160" i="48"/>
  <c r="L159" i="48"/>
  <c r="H159" i="48"/>
  <c r="L158" i="48"/>
  <c r="H158" i="48"/>
  <c r="L157" i="48"/>
  <c r="H157" i="48"/>
  <c r="L156" i="48"/>
  <c r="H156" i="48"/>
  <c r="L155" i="48"/>
  <c r="H155" i="48"/>
  <c r="J144" i="48"/>
  <c r="J143" i="48"/>
  <c r="J142" i="48"/>
  <c r="J141" i="48"/>
  <c r="J140" i="48"/>
  <c r="J138" i="48"/>
  <c r="J133" i="48"/>
  <c r="J132" i="48"/>
  <c r="J131" i="48"/>
  <c r="J130" i="48"/>
  <c r="J124" i="48"/>
  <c r="J123" i="48"/>
  <c r="F122" i="48"/>
  <c r="J122" i="48" s="1"/>
  <c r="J125" i="48" s="1"/>
  <c r="F20" i="48" s="1"/>
  <c r="F116" i="48"/>
  <c r="J116" i="48" s="1"/>
  <c r="F115" i="48"/>
  <c r="J115" i="48" s="1"/>
  <c r="F114" i="48"/>
  <c r="J114" i="48" s="1"/>
  <c r="F113" i="48"/>
  <c r="J113" i="48" s="1"/>
  <c r="F112" i="48"/>
  <c r="J112" i="48" s="1"/>
  <c r="F111" i="48"/>
  <c r="J111" i="48" s="1"/>
  <c r="F110" i="48"/>
  <c r="J110" i="48" s="1"/>
  <c r="F109" i="48"/>
  <c r="J109" i="48" s="1"/>
  <c r="J103" i="48"/>
  <c r="J102" i="48"/>
  <c r="J101" i="48"/>
  <c r="J100" i="48"/>
  <c r="J99" i="48"/>
  <c r="J96" i="48"/>
  <c r="J95" i="48"/>
  <c r="J94" i="48"/>
  <c r="J93" i="48"/>
  <c r="J92" i="48"/>
  <c r="J91" i="48"/>
  <c r="J90" i="48"/>
  <c r="J82" i="48"/>
  <c r="J83" i="48" s="1"/>
  <c r="J81" i="48"/>
  <c r="J80" i="48"/>
  <c r="J79" i="48"/>
  <c r="J78" i="48"/>
  <c r="J73" i="48"/>
  <c r="F16" i="48" s="1"/>
  <c r="AB32" i="48"/>
  <c r="AB31" i="48"/>
  <c r="AB30" i="48"/>
  <c r="AB29" i="48"/>
  <c r="AB28" i="48"/>
  <c r="AB27" i="48"/>
  <c r="AB26" i="48"/>
  <c r="AC30" i="48"/>
  <c r="S18" i="48"/>
  <c r="O19" i="48" s="1"/>
  <c r="O17" i="48"/>
  <c r="Q16" i="48"/>
  <c r="O16" i="48"/>
  <c r="Q15" i="48"/>
  <c r="O15" i="48"/>
  <c r="Q14" i="48"/>
  <c r="O14" i="48"/>
  <c r="T13" i="47"/>
  <c r="T12" i="47"/>
  <c r="J26" i="49" l="1"/>
  <c r="H16" i="48"/>
  <c r="J16" i="48"/>
  <c r="J20" i="48"/>
  <c r="H20" i="48"/>
  <c r="H60" i="48"/>
  <c r="H62" i="48" s="1"/>
  <c r="J60" i="48"/>
  <c r="J62" i="48" s="1"/>
  <c r="J97" i="30" s="1"/>
  <c r="J104" i="48"/>
  <c r="F18" i="48" s="1"/>
  <c r="AC27" i="48" s="1"/>
  <c r="J117" i="48"/>
  <c r="F19" i="48" s="1"/>
  <c r="AC28" i="48" s="1"/>
  <c r="AC29" i="48"/>
  <c r="AC26" i="48"/>
  <c r="F62" i="48"/>
  <c r="AC32" i="48"/>
  <c r="D139" i="48"/>
  <c r="AC25" i="48"/>
  <c r="F92" i="47"/>
  <c r="F78" i="47"/>
  <c r="J70" i="47"/>
  <c r="O120" i="47"/>
  <c r="O121" i="47"/>
  <c r="O122" i="47"/>
  <c r="O123" i="47"/>
  <c r="N120" i="47"/>
  <c r="N121" i="47"/>
  <c r="N122" i="47"/>
  <c r="N123" i="47"/>
  <c r="L120" i="47"/>
  <c r="Q120" i="47" s="1"/>
  <c r="L121" i="47"/>
  <c r="Q121" i="47" s="1"/>
  <c r="L122" i="47"/>
  <c r="Q122" i="47" s="1"/>
  <c r="L123" i="47"/>
  <c r="P123" i="47" s="1"/>
  <c r="L112" i="47"/>
  <c r="O112" i="47" s="1"/>
  <c r="L119" i="47"/>
  <c r="N119" i="47" s="1"/>
  <c r="L118" i="47"/>
  <c r="O118" i="47" s="1"/>
  <c r="L117" i="47"/>
  <c r="P117" i="47" s="1"/>
  <c r="L116" i="47"/>
  <c r="N116" i="47" s="1"/>
  <c r="H115" i="47"/>
  <c r="L115" i="47" s="1"/>
  <c r="N115" i="47" s="1"/>
  <c r="L113" i="47"/>
  <c r="O113" i="47" s="1"/>
  <c r="L114" i="47"/>
  <c r="Q114" i="47" s="1"/>
  <c r="L111" i="47"/>
  <c r="N111" i="47" s="1"/>
  <c r="F53" i="47"/>
  <c r="J47" i="47"/>
  <c r="J46" i="47"/>
  <c r="J41" i="47"/>
  <c r="J10" i="47" s="1"/>
  <c r="J48" i="47" l="1"/>
  <c r="J11" i="47" s="1"/>
  <c r="H11" i="47" s="1"/>
  <c r="J19" i="48"/>
  <c r="H19" i="48"/>
  <c r="AC39" i="48"/>
  <c r="H97" i="30"/>
  <c r="J18" i="48"/>
  <c r="H18" i="48"/>
  <c r="D140" i="48"/>
  <c r="F139" i="48"/>
  <c r="J139" i="48" s="1"/>
  <c r="J145" i="48" s="1"/>
  <c r="F22" i="48" s="1"/>
  <c r="H10" i="47"/>
  <c r="F10" i="47"/>
  <c r="U6" i="47" s="1"/>
  <c r="P120" i="47"/>
  <c r="O116" i="47"/>
  <c r="P122" i="47"/>
  <c r="P121" i="47"/>
  <c r="P114" i="47"/>
  <c r="P113" i="47"/>
  <c r="Q116" i="47"/>
  <c r="P112" i="47"/>
  <c r="P118" i="47"/>
  <c r="Q123" i="47"/>
  <c r="Q115" i="47"/>
  <c r="Q119" i="47"/>
  <c r="Q118" i="47"/>
  <c r="N118" i="47"/>
  <c r="Q117" i="47"/>
  <c r="N117" i="47"/>
  <c r="O117" i="47"/>
  <c r="P119" i="47"/>
  <c r="Q111" i="47"/>
  <c r="N114" i="47"/>
  <c r="N113" i="47"/>
  <c r="O114" i="47"/>
  <c r="P111" i="47"/>
  <c r="P116" i="47"/>
  <c r="Q113" i="47"/>
  <c r="P115" i="47"/>
  <c r="Q112" i="47"/>
  <c r="O119" i="47"/>
  <c r="N112" i="47"/>
  <c r="O111" i="47"/>
  <c r="O115" i="47"/>
  <c r="J98" i="47"/>
  <c r="F98" i="47"/>
  <c r="H98" i="47" s="1"/>
  <c r="J30" i="47" s="1"/>
  <c r="L97" i="47"/>
  <c r="H97" i="47"/>
  <c r="L96" i="47"/>
  <c r="H96" i="47"/>
  <c r="L95" i="47"/>
  <c r="H95" i="47"/>
  <c r="L94" i="47"/>
  <c r="H94" i="47"/>
  <c r="L93" i="47"/>
  <c r="H93" i="47"/>
  <c r="L92" i="47"/>
  <c r="H92" i="47"/>
  <c r="L91" i="47"/>
  <c r="H91" i="47"/>
  <c r="J80" i="47"/>
  <c r="J79" i="47"/>
  <c r="J78" i="47"/>
  <c r="J77" i="47"/>
  <c r="J69" i="47"/>
  <c r="J68" i="47"/>
  <c r="J65" i="47"/>
  <c r="J64" i="47"/>
  <c r="J63" i="47"/>
  <c r="J55" i="47"/>
  <c r="J54" i="47"/>
  <c r="J53" i="47"/>
  <c r="F11" i="47" l="1"/>
  <c r="U7" i="47" s="1"/>
  <c r="H22" i="48"/>
  <c r="J22" i="48"/>
  <c r="J24" i="48" s="1"/>
  <c r="H24" i="48"/>
  <c r="AC31" i="48"/>
  <c r="F24" i="48"/>
  <c r="H30" i="47"/>
  <c r="H32" i="47" s="1"/>
  <c r="F30" i="47"/>
  <c r="N124" i="47"/>
  <c r="J21" i="47" s="1"/>
  <c r="Q124" i="47"/>
  <c r="J24" i="47" s="1"/>
  <c r="P124" i="47"/>
  <c r="J23" i="47" s="1"/>
  <c r="O124" i="47"/>
  <c r="J22" i="47" s="1"/>
  <c r="L98" i="47"/>
  <c r="J15" i="47" s="1"/>
  <c r="J81" i="47"/>
  <c r="J14" i="47" s="1"/>
  <c r="J56" i="47"/>
  <c r="J12" i="47" s="1"/>
  <c r="J71" i="47"/>
  <c r="J13" i="47" s="1"/>
  <c r="J32" i="47"/>
  <c r="M85" i="4"/>
  <c r="M84" i="4"/>
  <c r="M20" i="4"/>
  <c r="M56" i="4"/>
  <c r="M55" i="4"/>
  <c r="M54" i="4"/>
  <c r="M53" i="4"/>
  <c r="M51" i="4"/>
  <c r="L52" i="4"/>
  <c r="L43" i="4"/>
  <c r="L41" i="4"/>
  <c r="K42" i="27"/>
  <c r="K41" i="27"/>
  <c r="K40" i="27"/>
  <c r="K39" i="27"/>
  <c r="K38" i="27"/>
  <c r="K37" i="27"/>
  <c r="K17" i="27"/>
  <c r="K18" i="27"/>
  <c r="K19" i="27"/>
  <c r="K20" i="27"/>
  <c r="K21" i="27"/>
  <c r="K12" i="27"/>
  <c r="F9" i="45"/>
  <c r="AK36" i="4"/>
  <c r="AL36" i="4"/>
  <c r="AM36" i="4"/>
  <c r="AN36" i="4"/>
  <c r="AP36" i="4"/>
  <c r="AQ36" i="4"/>
  <c r="AR36" i="4"/>
  <c r="AS36" i="4"/>
  <c r="AT36" i="4"/>
  <c r="AU36" i="4"/>
  <c r="AV36" i="4"/>
  <c r="AW36" i="4"/>
  <c r="AX36" i="4"/>
  <c r="AY36" i="4"/>
  <c r="AZ36" i="4"/>
  <c r="BA36" i="4"/>
  <c r="BB36" i="4"/>
  <c r="BC36" i="4"/>
  <c r="BD36" i="4"/>
  <c r="BE36" i="4"/>
  <c r="BF36" i="4"/>
  <c r="BG36" i="4"/>
  <c r="BH36" i="4"/>
  <c r="BI36" i="4"/>
  <c r="BJ36" i="4"/>
  <c r="BK36" i="4"/>
  <c r="BL36" i="4"/>
  <c r="BN36" i="4"/>
  <c r="BO36" i="4"/>
  <c r="BP36" i="4"/>
  <c r="BQ36" i="4"/>
  <c r="BR36" i="4"/>
  <c r="BS36" i="4"/>
  <c r="BT36" i="4"/>
  <c r="BU36" i="4"/>
  <c r="BV36" i="4"/>
  <c r="BW36" i="4"/>
  <c r="BX36" i="4"/>
  <c r="BY36" i="4"/>
  <c r="BZ36" i="4"/>
  <c r="CA36" i="4"/>
  <c r="CB36" i="4"/>
  <c r="CC36" i="4"/>
  <c r="CD36" i="4"/>
  <c r="CE36" i="4"/>
  <c r="CF36" i="4"/>
  <c r="CG36" i="4"/>
  <c r="CH36" i="4"/>
  <c r="CI36" i="4"/>
  <c r="CJ36" i="4"/>
  <c r="CL36" i="4"/>
  <c r="CM36" i="4"/>
  <c r="CN36" i="4"/>
  <c r="CO36" i="4"/>
  <c r="CP36" i="4"/>
  <c r="CR36" i="4"/>
  <c r="CS36" i="4"/>
  <c r="CT36" i="4"/>
  <c r="CU36" i="4"/>
  <c r="CV36" i="4"/>
  <c r="CW36" i="4"/>
  <c r="CX36" i="4"/>
  <c r="DC36" i="4"/>
  <c r="DE36" i="4"/>
  <c r="DF36" i="4"/>
  <c r="DG36" i="4"/>
  <c r="DH36" i="4"/>
  <c r="DJ36" i="4"/>
  <c r="DK36" i="4"/>
  <c r="DL36" i="4"/>
  <c r="DM36" i="4"/>
  <c r="DN36" i="4"/>
  <c r="DP36" i="4"/>
  <c r="DQ36" i="4"/>
  <c r="DR36" i="4"/>
  <c r="DS36" i="4"/>
  <c r="DT36" i="4"/>
  <c r="DU36" i="4"/>
  <c r="DV36" i="4"/>
  <c r="EA36" i="4"/>
  <c r="AI36" i="4"/>
  <c r="EB36" i="4" s="1"/>
  <c r="AG36" i="4"/>
  <c r="DZ36" i="4" s="1"/>
  <c r="AF36" i="4"/>
  <c r="DA36" i="4" s="1"/>
  <c r="AE36" i="4"/>
  <c r="DX36" i="4" s="1"/>
  <c r="AD36" i="4"/>
  <c r="DW36" i="4" s="1"/>
  <c r="J36" i="4"/>
  <c r="F102" i="39"/>
  <c r="F103" i="36"/>
  <c r="F102" i="36"/>
  <c r="F103" i="35"/>
  <c r="F102" i="35"/>
  <c r="F103" i="29"/>
  <c r="F102" i="29"/>
  <c r="DY36" i="4" l="1"/>
  <c r="F32" i="47"/>
  <c r="U13" i="47"/>
  <c r="F21" i="47"/>
  <c r="J25" i="47"/>
  <c r="J27" i="47" s="1"/>
  <c r="H21" i="47"/>
  <c r="F22" i="47"/>
  <c r="H22" i="47"/>
  <c r="F23" i="47"/>
  <c r="H23" i="47"/>
  <c r="F24" i="47"/>
  <c r="H24" i="47"/>
  <c r="H12" i="47"/>
  <c r="J17" i="47"/>
  <c r="CZ36" i="4"/>
  <c r="DD36" i="4"/>
  <c r="DB36" i="4"/>
  <c r="CY36" i="4"/>
  <c r="F45" i="30"/>
  <c r="F46" i="30"/>
  <c r="F47" i="30"/>
  <c r="F48" i="30"/>
  <c r="F49" i="30"/>
  <c r="AB25" i="23"/>
  <c r="Y27" i="24"/>
  <c r="H25" i="47" l="1"/>
  <c r="H27" i="47" s="1"/>
  <c r="F25" i="47"/>
  <c r="J34" i="47"/>
  <c r="D140" i="46"/>
  <c r="F114" i="41"/>
  <c r="F110" i="41"/>
  <c r="F111" i="41"/>
  <c r="F112" i="41"/>
  <c r="J112" i="41" s="1"/>
  <c r="F113" i="41"/>
  <c r="F27" i="47" l="1"/>
  <c r="U12" i="47" s="1"/>
  <c r="F23" i="46"/>
  <c r="F21" i="46"/>
  <c r="F20" i="46"/>
  <c r="H20" i="46" s="1"/>
  <c r="F18" i="46"/>
  <c r="F17" i="46"/>
  <c r="F16" i="46"/>
  <c r="I19" i="4"/>
  <c r="DI19" i="4" s="1"/>
  <c r="I20" i="4"/>
  <c r="DI20" i="4" s="1"/>
  <c r="E19" i="4"/>
  <c r="E20" i="4"/>
  <c r="B20" i="4"/>
  <c r="I56" i="4"/>
  <c r="DI56" i="4" s="1"/>
  <c r="I55" i="4"/>
  <c r="DI55" i="4" s="1"/>
  <c r="I54" i="4"/>
  <c r="DI54" i="4" s="1"/>
  <c r="I53" i="4"/>
  <c r="DI53" i="4" s="1"/>
  <c r="E56" i="4"/>
  <c r="E55" i="4"/>
  <c r="BM55" i="4" s="1"/>
  <c r="E54" i="4"/>
  <c r="BM54" i="4" s="1"/>
  <c r="E53" i="4"/>
  <c r="BM53" i="4" s="1"/>
  <c r="I51" i="4"/>
  <c r="DI51" i="4" s="1"/>
  <c r="E51" i="4"/>
  <c r="BM51" i="4" s="1"/>
  <c r="F84" i="4"/>
  <c r="F85" i="4"/>
  <c r="E84" i="4"/>
  <c r="E85" i="4"/>
  <c r="C84" i="4"/>
  <c r="C85" i="4"/>
  <c r="AJ77" i="4"/>
  <c r="AJ51" i="4"/>
  <c r="AJ84" i="4"/>
  <c r="AJ85" i="4"/>
  <c r="AJ53" i="4"/>
  <c r="AJ54" i="4"/>
  <c r="AJ55" i="4"/>
  <c r="AJ56" i="4"/>
  <c r="AJ20" i="4"/>
  <c r="F39" i="30"/>
  <c r="F66" i="30" s="1"/>
  <c r="F93" i="30" s="1"/>
  <c r="F120" i="30" s="1"/>
  <c r="F8" i="30"/>
  <c r="H9" i="46"/>
  <c r="F9" i="46" s="1"/>
  <c r="F60" i="46"/>
  <c r="J60" i="46" s="1"/>
  <c r="J49" i="46"/>
  <c r="F49" i="46" s="1"/>
  <c r="H49" i="46" s="1"/>
  <c r="F123" i="46"/>
  <c r="J123" i="46" s="1"/>
  <c r="J97" i="46"/>
  <c r="F95" i="46"/>
  <c r="F111" i="46"/>
  <c r="F113" i="46"/>
  <c r="J113" i="46" s="1"/>
  <c r="F112" i="46"/>
  <c r="J112" i="46" s="1"/>
  <c r="P9" i="27"/>
  <c r="J173" i="46"/>
  <c r="L173" i="46" s="1"/>
  <c r="F173" i="46"/>
  <c r="H173" i="46" s="1"/>
  <c r="L156" i="46"/>
  <c r="L158" i="46" s="1"/>
  <c r="L159" i="46" s="1"/>
  <c r="L160" i="46" s="1"/>
  <c r="L161" i="46" s="1"/>
  <c r="L162" i="46" s="1"/>
  <c r="L163" i="46" s="1"/>
  <c r="L164" i="46" s="1"/>
  <c r="L165" i="46" s="1"/>
  <c r="L166" i="46" s="1"/>
  <c r="L167" i="46" s="1"/>
  <c r="L168" i="46" s="1"/>
  <c r="L169" i="46" s="1"/>
  <c r="L170" i="46" s="1"/>
  <c r="L171" i="46" s="1"/>
  <c r="L172" i="46" s="1"/>
  <c r="H156" i="46"/>
  <c r="H158" i="46" s="1"/>
  <c r="H159" i="46" s="1"/>
  <c r="H160" i="46" s="1"/>
  <c r="H161" i="46" s="1"/>
  <c r="H162" i="46" s="1"/>
  <c r="H163" i="46" s="1"/>
  <c r="H164" i="46" s="1"/>
  <c r="H165" i="46" s="1"/>
  <c r="H166" i="46" s="1"/>
  <c r="H167" i="46" s="1"/>
  <c r="H168" i="46" s="1"/>
  <c r="H169" i="46" s="1"/>
  <c r="H170" i="46" s="1"/>
  <c r="H171" i="46" s="1"/>
  <c r="H172" i="46" s="1"/>
  <c r="J145" i="46"/>
  <c r="J144" i="46"/>
  <c r="J143" i="46"/>
  <c r="J142" i="46"/>
  <c r="J141" i="46"/>
  <c r="J139" i="46"/>
  <c r="J133" i="46"/>
  <c r="J132" i="46"/>
  <c r="J131" i="46"/>
  <c r="J125" i="46"/>
  <c r="J124" i="46"/>
  <c r="F117" i="46"/>
  <c r="J117" i="46" s="1"/>
  <c r="F116" i="46"/>
  <c r="J116" i="46" s="1"/>
  <c r="F115" i="46"/>
  <c r="J115" i="46" s="1"/>
  <c r="F114" i="46"/>
  <c r="J114" i="46" s="1"/>
  <c r="J105" i="46"/>
  <c r="J104" i="46"/>
  <c r="J103" i="46"/>
  <c r="J102" i="46"/>
  <c r="J101" i="46"/>
  <c r="J98" i="46"/>
  <c r="J96" i="46"/>
  <c r="J95" i="46"/>
  <c r="J94" i="46"/>
  <c r="J93" i="46"/>
  <c r="J92" i="46"/>
  <c r="J91" i="46"/>
  <c r="J83" i="46"/>
  <c r="J82" i="46"/>
  <c r="J81" i="46"/>
  <c r="J80" i="46"/>
  <c r="J79" i="46"/>
  <c r="J78" i="46"/>
  <c r="J73" i="46"/>
  <c r="AB32" i="46"/>
  <c r="AB31" i="46"/>
  <c r="AB30" i="46"/>
  <c r="AB29" i="46"/>
  <c r="AB28" i="46"/>
  <c r="AB27" i="46"/>
  <c r="AB26" i="46"/>
  <c r="S17" i="46"/>
  <c r="O18" i="46" s="1"/>
  <c r="O16" i="46"/>
  <c r="O15" i="46"/>
  <c r="O14" i="46"/>
  <c r="O13" i="46"/>
  <c r="CY54" i="4" l="1"/>
  <c r="CV54" i="4"/>
  <c r="CM19" i="4"/>
  <c r="DX19" i="4"/>
  <c r="DH55" i="4"/>
  <c r="CK55" i="4"/>
  <c r="DM56" i="4"/>
  <c r="CK56" i="4"/>
  <c r="DR51" i="4"/>
  <c r="CK51" i="4"/>
  <c r="DR53" i="4"/>
  <c r="CK53" i="4"/>
  <c r="DJ20" i="4"/>
  <c r="CK20" i="4"/>
  <c r="DK54" i="4"/>
  <c r="CK54" i="4"/>
  <c r="DK19" i="4"/>
  <c r="CK19" i="4"/>
  <c r="BM56" i="4"/>
  <c r="AO19" i="4"/>
  <c r="BM19" i="4"/>
  <c r="AO20" i="4"/>
  <c r="BM20" i="4"/>
  <c r="BS53" i="4"/>
  <c r="AO53" i="4"/>
  <c r="AO56" i="4"/>
  <c r="BZ54" i="4"/>
  <c r="AO54" i="4"/>
  <c r="BQ51" i="4"/>
  <c r="AO51" i="4"/>
  <c r="BX55" i="4"/>
  <c r="AO55" i="4"/>
  <c r="DW19" i="4"/>
  <c r="CR54" i="4"/>
  <c r="CX19" i="4"/>
  <c r="DJ19" i="4"/>
  <c r="DH54" i="4"/>
  <c r="CH53" i="4"/>
  <c r="CT19" i="4"/>
  <c r="DH19" i="4"/>
  <c r="DV53" i="4"/>
  <c r="DA19" i="4"/>
  <c r="DN19" i="4"/>
  <c r="CZ53" i="4"/>
  <c r="CP19" i="4"/>
  <c r="CG54" i="4"/>
  <c r="BR20" i="4"/>
  <c r="CO19" i="4"/>
  <c r="DA54" i="4"/>
  <c r="BR19" i="4"/>
  <c r="CL56" i="4"/>
  <c r="CQ53" i="4"/>
  <c r="CG19" i="4"/>
  <c r="EA20" i="4"/>
  <c r="DY54" i="4"/>
  <c r="CI19" i="4"/>
  <c r="DZ19" i="4"/>
  <c r="DB54" i="4"/>
  <c r="DW54" i="4"/>
  <c r="DF55" i="4"/>
  <c r="DS20" i="4"/>
  <c r="CG55" i="4"/>
  <c r="CU55" i="4"/>
  <c r="CP53" i="4"/>
  <c r="DT55" i="4"/>
  <c r="CS55" i="4"/>
  <c r="DE55" i="4"/>
  <c r="CW55" i="4"/>
  <c r="CJ55" i="4"/>
  <c r="DV55" i="4"/>
  <c r="CT55" i="4"/>
  <c r="CO53" i="4"/>
  <c r="DS55" i="4"/>
  <c r="DN55" i="4"/>
  <c r="DP55" i="4"/>
  <c r="DC55" i="4"/>
  <c r="CQ55" i="4"/>
  <c r="DG55" i="4"/>
  <c r="DB55" i="4"/>
  <c r="CP55" i="4"/>
  <c r="DZ55" i="4"/>
  <c r="DM55" i="4"/>
  <c r="DA55" i="4"/>
  <c r="CN55" i="4"/>
  <c r="DX55" i="4"/>
  <c r="DK55" i="4"/>
  <c r="CH55" i="4"/>
  <c r="EB20" i="4"/>
  <c r="CY55" i="4"/>
  <c r="CM55" i="4"/>
  <c r="CR53" i="4"/>
  <c r="DW55" i="4"/>
  <c r="DJ55" i="4"/>
  <c r="DD55" i="4"/>
  <c r="CX20" i="4"/>
  <c r="DD51" i="4"/>
  <c r="DD19" i="4"/>
  <c r="DG19" i="4"/>
  <c r="DU19" i="4"/>
  <c r="DC51" i="4"/>
  <c r="CN54" i="4"/>
  <c r="DP54" i="4"/>
  <c r="DC19" i="4"/>
  <c r="DG20" i="4"/>
  <c r="DO19" i="4"/>
  <c r="CI55" i="4"/>
  <c r="CV55" i="4"/>
  <c r="CL55" i="4"/>
  <c r="CM54" i="4"/>
  <c r="EB55" i="4"/>
  <c r="DO55" i="4"/>
  <c r="DM54" i="4"/>
  <c r="CH56" i="4"/>
  <c r="EB56" i="4"/>
  <c r="CS51" i="4"/>
  <c r="DY56" i="4"/>
  <c r="DH53" i="4"/>
  <c r="DM51" i="4"/>
  <c r="DL56" i="4"/>
  <c r="CG20" i="4"/>
  <c r="CT56" i="4"/>
  <c r="DL51" i="4"/>
  <c r="DH56" i="4"/>
  <c r="AW56" i="4"/>
  <c r="DT56" i="4"/>
  <c r="AW51" i="4"/>
  <c r="DB56" i="4"/>
  <c r="DQ56" i="4"/>
  <c r="AM56" i="4"/>
  <c r="CW56" i="4"/>
  <c r="CO56" i="4"/>
  <c r="AV56" i="4"/>
  <c r="DD56" i="4"/>
  <c r="CV56" i="4"/>
  <c r="CN56" i="4"/>
  <c r="EA56" i="4"/>
  <c r="DS56" i="4"/>
  <c r="DK56" i="4"/>
  <c r="DV54" i="4"/>
  <c r="DB19" i="4"/>
  <c r="CN19" i="4"/>
  <c r="DY19" i="4"/>
  <c r="DM19" i="4"/>
  <c r="CG56" i="4"/>
  <c r="DC56" i="4"/>
  <c r="CU56" i="4"/>
  <c r="CM56" i="4"/>
  <c r="CX55" i="4"/>
  <c r="CO55" i="4"/>
  <c r="CZ54" i="4"/>
  <c r="CL54" i="4"/>
  <c r="DK51" i="4"/>
  <c r="DZ56" i="4"/>
  <c r="DR56" i="4"/>
  <c r="DJ56" i="4"/>
  <c r="DU55" i="4"/>
  <c r="DL55" i="4"/>
  <c r="DU54" i="4"/>
  <c r="DA56" i="4"/>
  <c r="DP56" i="4"/>
  <c r="CS56" i="4"/>
  <c r="CJ56" i="4"/>
  <c r="DE56" i="4"/>
  <c r="DX56" i="4"/>
  <c r="DO54" i="4"/>
  <c r="BR56" i="4"/>
  <c r="CH54" i="4"/>
  <c r="CW19" i="4"/>
  <c r="DV19" i="4"/>
  <c r="BZ56" i="4"/>
  <c r="CT51" i="4"/>
  <c r="CZ56" i="4"/>
  <c r="CR56" i="4"/>
  <c r="CS54" i="4"/>
  <c r="DG54" i="4"/>
  <c r="DW56" i="4"/>
  <c r="DO56" i="4"/>
  <c r="EA55" i="4"/>
  <c r="DR55" i="4"/>
  <c r="DZ54" i="4"/>
  <c r="DN54" i="4"/>
  <c r="BV56" i="4"/>
  <c r="CY56" i="4"/>
  <c r="CQ56" i="4"/>
  <c r="DV56" i="4"/>
  <c r="DN56" i="4"/>
  <c r="DF56" i="4"/>
  <c r="AX56" i="4"/>
  <c r="CS19" i="4"/>
  <c r="DP19" i="4"/>
  <c r="BL56" i="4"/>
  <c r="CI56" i="4"/>
  <c r="CX56" i="4"/>
  <c r="CP56" i="4"/>
  <c r="DC54" i="4"/>
  <c r="CQ54" i="4"/>
  <c r="DG56" i="4"/>
  <c r="DU56" i="4"/>
  <c r="DX54" i="4"/>
  <c r="DJ54" i="4"/>
  <c r="CE55" i="4"/>
  <c r="BC55" i="4"/>
  <c r="BU54" i="4"/>
  <c r="CR51" i="4"/>
  <c r="AK56" i="4"/>
  <c r="BG54" i="4"/>
  <c r="CT20" i="4"/>
  <c r="DR20" i="4"/>
  <c r="EA51" i="4"/>
  <c r="J23" i="46"/>
  <c r="DF20" i="4"/>
  <c r="DF54" i="4"/>
  <c r="BG56" i="4"/>
  <c r="AW54" i="4"/>
  <c r="CS20" i="4"/>
  <c r="CV19" i="4"/>
  <c r="CL19" i="4"/>
  <c r="DN20" i="4"/>
  <c r="DR19" i="4"/>
  <c r="BP51" i="4"/>
  <c r="CU54" i="4"/>
  <c r="CJ54" i="4"/>
  <c r="DZ51" i="4"/>
  <c r="DR54" i="4"/>
  <c r="EA53" i="4"/>
  <c r="BF56" i="4"/>
  <c r="AX51" i="4"/>
  <c r="CR20" i="4"/>
  <c r="CU19" i="4"/>
  <c r="CJ19" i="4"/>
  <c r="DM20" i="4"/>
  <c r="DQ19" i="4"/>
  <c r="CA56" i="4"/>
  <c r="CZ55" i="4"/>
  <c r="CR55" i="4"/>
  <c r="DD54" i="4"/>
  <c r="CT54" i="4"/>
  <c r="DD53" i="4"/>
  <c r="DV51" i="4"/>
  <c r="DY55" i="4"/>
  <c r="DQ55" i="4"/>
  <c r="DQ54" i="4"/>
  <c r="DZ53" i="4"/>
  <c r="F10" i="46"/>
  <c r="J10" i="46" s="1"/>
  <c r="F10" i="29"/>
  <c r="AX19" i="4"/>
  <c r="BZ19" i="4"/>
  <c r="BI54" i="4"/>
  <c r="AS54" i="4"/>
  <c r="AS19" i="4"/>
  <c r="AZ55" i="4"/>
  <c r="BF19" i="4"/>
  <c r="BU56" i="4"/>
  <c r="DB51" i="4"/>
  <c r="DF51" i="4"/>
  <c r="AK51" i="4"/>
  <c r="AY56" i="4"/>
  <c r="AN56" i="4"/>
  <c r="BH54" i="4"/>
  <c r="AX54" i="4"/>
  <c r="BB51" i="4"/>
  <c r="AW20" i="4"/>
  <c r="AY19" i="4"/>
  <c r="CE20" i="4"/>
  <c r="CB19" i="4"/>
  <c r="BN19" i="4"/>
  <c r="CY20" i="4"/>
  <c r="CJ20" i="4"/>
  <c r="DT20" i="4"/>
  <c r="BX51" i="4"/>
  <c r="CB56" i="4"/>
  <c r="BN56" i="4"/>
  <c r="BV54" i="4"/>
  <c r="CU51" i="4"/>
  <c r="CI53" i="4"/>
  <c r="CV53" i="4"/>
  <c r="EB51" i="4"/>
  <c r="DN51" i="4"/>
  <c r="EB53" i="4"/>
  <c r="DJ53" i="4"/>
  <c r="I84" i="4"/>
  <c r="DI84" i="4" s="1"/>
  <c r="AV20" i="4"/>
  <c r="BF54" i="4"/>
  <c r="AT19" i="4"/>
  <c r="BY20" i="4"/>
  <c r="BT54" i="4"/>
  <c r="AN51" i="4"/>
  <c r="BQ20" i="4"/>
  <c r="BI55" i="4"/>
  <c r="BW55" i="4"/>
  <c r="BS54" i="4"/>
  <c r="AU56" i="4"/>
  <c r="AK19" i="4"/>
  <c r="AR19" i="4"/>
  <c r="BQ55" i="4"/>
  <c r="BR54" i="4"/>
  <c r="DU51" i="4"/>
  <c r="DJ51" i="4"/>
  <c r="DU53" i="4"/>
  <c r="AL56" i="4"/>
  <c r="BD56" i="4"/>
  <c r="AT56" i="4"/>
  <c r="AS55" i="4"/>
  <c r="BA54" i="4"/>
  <c r="AQ54" i="4"/>
  <c r="AK20" i="4"/>
  <c r="BB19" i="4"/>
  <c r="AQ19" i="4"/>
  <c r="BN20" i="4"/>
  <c r="BT19" i="4"/>
  <c r="DB20" i="4"/>
  <c r="CQ20" i="4"/>
  <c r="DZ20" i="4"/>
  <c r="DL20" i="4"/>
  <c r="BK54" i="4"/>
  <c r="BT56" i="4"/>
  <c r="CD54" i="4"/>
  <c r="CG51" i="4"/>
  <c r="DA51" i="4"/>
  <c r="CM51" i="4"/>
  <c r="CY53" i="4"/>
  <c r="CN53" i="4"/>
  <c r="DT51" i="4"/>
  <c r="DT53" i="4"/>
  <c r="BJ20" i="4"/>
  <c r="CA19" i="4"/>
  <c r="AV54" i="4"/>
  <c r="BA55" i="4"/>
  <c r="BG19" i="4"/>
  <c r="BV19" i="4"/>
  <c r="BE56" i="4"/>
  <c r="AR54" i="4"/>
  <c r="BU19" i="4"/>
  <c r="BI56" i="4"/>
  <c r="CN51" i="4"/>
  <c r="AL54" i="4"/>
  <c r="BC56" i="4"/>
  <c r="AQ56" i="4"/>
  <c r="AQ55" i="4"/>
  <c r="AZ54" i="4"/>
  <c r="AP54" i="4"/>
  <c r="AM19" i="4"/>
  <c r="BA19" i="4"/>
  <c r="AP19" i="4"/>
  <c r="CD19" i="4"/>
  <c r="BS19" i="4"/>
  <c r="DA20" i="4"/>
  <c r="CP20" i="4"/>
  <c r="DV20" i="4"/>
  <c r="DK20" i="4"/>
  <c r="CA51" i="4"/>
  <c r="CD56" i="4"/>
  <c r="BS56" i="4"/>
  <c r="CC54" i="4"/>
  <c r="CG53" i="4"/>
  <c r="CZ51" i="4"/>
  <c r="CL51" i="4"/>
  <c r="CX53" i="4"/>
  <c r="DE51" i="4"/>
  <c r="DS51" i="4"/>
  <c r="DS53" i="4"/>
  <c r="BZ20" i="4"/>
  <c r="BL19" i="4"/>
  <c r="BH19" i="4"/>
  <c r="BE54" i="4"/>
  <c r="BD54" i="4"/>
  <c r="BO20" i="4"/>
  <c r="BJ54" i="4"/>
  <c r="DF53" i="4"/>
  <c r="BB56" i="4"/>
  <c r="AP56" i="4"/>
  <c r="AM55" i="4"/>
  <c r="AY54" i="4"/>
  <c r="AN54" i="4"/>
  <c r="BB20" i="4"/>
  <c r="AZ19" i="4"/>
  <c r="BK19" i="4"/>
  <c r="CC19" i="4"/>
  <c r="CZ20" i="4"/>
  <c r="CL20" i="4"/>
  <c r="DU20" i="4"/>
  <c r="BY51" i="4"/>
  <c r="CC56" i="4"/>
  <c r="CV51" i="4"/>
  <c r="CJ51" i="4"/>
  <c r="CW53" i="4"/>
  <c r="DG51" i="4"/>
  <c r="AK55" i="4"/>
  <c r="AY55" i="4"/>
  <c r="BF51" i="4"/>
  <c r="AV51" i="4"/>
  <c r="BF20" i="4"/>
  <c r="AU20" i="4"/>
  <c r="BX20" i="4"/>
  <c r="BI51" i="4"/>
  <c r="BT51" i="4"/>
  <c r="CD55" i="4"/>
  <c r="BP55" i="4"/>
  <c r="AL55" i="4"/>
  <c r="BH55" i="4"/>
  <c r="AV55" i="4"/>
  <c r="BE51" i="4"/>
  <c r="AU51" i="4"/>
  <c r="BE20" i="4"/>
  <c r="AT20" i="4"/>
  <c r="BW20" i="4"/>
  <c r="BK51" i="4"/>
  <c r="BS51" i="4"/>
  <c r="BK55" i="4"/>
  <c r="BZ55" i="4"/>
  <c r="BO55" i="4"/>
  <c r="AL20" i="4"/>
  <c r="BG55" i="4"/>
  <c r="AU55" i="4"/>
  <c r="BD51" i="4"/>
  <c r="AT51" i="4"/>
  <c r="BD20" i="4"/>
  <c r="AP20" i="4"/>
  <c r="BK20" i="4"/>
  <c r="BV20" i="4"/>
  <c r="CF51" i="4"/>
  <c r="BR51" i="4"/>
  <c r="BY55" i="4"/>
  <c r="BN55" i="4"/>
  <c r="AL51" i="4"/>
  <c r="BD55" i="4"/>
  <c r="AT55" i="4"/>
  <c r="BC51" i="4"/>
  <c r="AP51" i="4"/>
  <c r="BC20" i="4"/>
  <c r="AN20" i="4"/>
  <c r="CF20" i="4"/>
  <c r="CB51" i="4"/>
  <c r="BO54" i="4"/>
  <c r="BW54" i="4"/>
  <c r="CE54" i="4"/>
  <c r="AT54" i="4"/>
  <c r="BB54" i="4"/>
  <c r="BQ54" i="4"/>
  <c r="AM54" i="4"/>
  <c r="BP54" i="4"/>
  <c r="BX54" i="4"/>
  <c r="CF54" i="4"/>
  <c r="AU54" i="4"/>
  <c r="BC54" i="4"/>
  <c r="AK54" i="4"/>
  <c r="BY54" i="4"/>
  <c r="BL51" i="4"/>
  <c r="BU51" i="4"/>
  <c r="CC51" i="4"/>
  <c r="AQ51" i="4"/>
  <c r="AY51" i="4"/>
  <c r="BG51" i="4"/>
  <c r="BO51" i="4"/>
  <c r="AS51" i="4"/>
  <c r="BN51" i="4"/>
  <c r="BV51" i="4"/>
  <c r="CD51" i="4"/>
  <c r="AR51" i="4"/>
  <c r="AZ51" i="4"/>
  <c r="BH51" i="4"/>
  <c r="BW51" i="4"/>
  <c r="CE51" i="4"/>
  <c r="BS55" i="4"/>
  <c r="CA55" i="4"/>
  <c r="AN55" i="4"/>
  <c r="AW55" i="4"/>
  <c r="BE55" i="4"/>
  <c r="BJ55" i="4"/>
  <c r="BU55" i="4"/>
  <c r="BT55" i="4"/>
  <c r="CB55" i="4"/>
  <c r="AP55" i="4"/>
  <c r="AX55" i="4"/>
  <c r="BF55" i="4"/>
  <c r="BL55" i="4"/>
  <c r="CC55" i="4"/>
  <c r="BS20" i="4"/>
  <c r="CA20" i="4"/>
  <c r="BI20" i="4"/>
  <c r="AQ20" i="4"/>
  <c r="AY20" i="4"/>
  <c r="BG20" i="4"/>
  <c r="BL20" i="4"/>
  <c r="CC20" i="4"/>
  <c r="BA20" i="4"/>
  <c r="BT20" i="4"/>
  <c r="CB20" i="4"/>
  <c r="AR20" i="4"/>
  <c r="AZ20" i="4"/>
  <c r="BH20" i="4"/>
  <c r="BU20" i="4"/>
  <c r="AS20" i="4"/>
  <c r="AM20" i="4"/>
  <c r="BJ51" i="4"/>
  <c r="BB55" i="4"/>
  <c r="AR55" i="4"/>
  <c r="BA51" i="4"/>
  <c r="AX20" i="4"/>
  <c r="CD20" i="4"/>
  <c r="BP20" i="4"/>
  <c r="BZ51" i="4"/>
  <c r="BV55" i="4"/>
  <c r="CB54" i="4"/>
  <c r="BN54" i="4"/>
  <c r="DO51" i="4"/>
  <c r="DW51" i="4"/>
  <c r="CO51" i="4"/>
  <c r="CW51" i="4"/>
  <c r="CI51" i="4"/>
  <c r="DQ51" i="4"/>
  <c r="CY51" i="4"/>
  <c r="DP51" i="4"/>
  <c r="DX51" i="4"/>
  <c r="CP51" i="4"/>
  <c r="CX51" i="4"/>
  <c r="CH51" i="4"/>
  <c r="DH51" i="4"/>
  <c r="DY51" i="4"/>
  <c r="CQ51" i="4"/>
  <c r="BO56" i="4"/>
  <c r="BW56" i="4"/>
  <c r="CE56" i="4"/>
  <c r="AR56" i="4"/>
  <c r="AZ56" i="4"/>
  <c r="BH56" i="4"/>
  <c r="BQ56" i="4"/>
  <c r="BP56" i="4"/>
  <c r="BX56" i="4"/>
  <c r="CF56" i="4"/>
  <c r="AS56" i="4"/>
  <c r="BA56" i="4"/>
  <c r="BJ56" i="4"/>
  <c r="BY56" i="4"/>
  <c r="BK56" i="4"/>
  <c r="BO19" i="4"/>
  <c r="BW19" i="4"/>
  <c r="CE19" i="4"/>
  <c r="AU19" i="4"/>
  <c r="BC19" i="4"/>
  <c r="BQ19" i="4"/>
  <c r="BY19" i="4"/>
  <c r="AN19" i="4"/>
  <c r="BE19" i="4"/>
  <c r="BP19" i="4"/>
  <c r="BX19" i="4"/>
  <c r="CF19" i="4"/>
  <c r="BI19" i="4"/>
  <c r="AV19" i="4"/>
  <c r="BD19" i="4"/>
  <c r="AW19" i="4"/>
  <c r="CF55" i="4"/>
  <c r="BR55" i="4"/>
  <c r="CA54" i="4"/>
  <c r="BL54" i="4"/>
  <c r="DK53" i="4"/>
  <c r="DM53" i="4"/>
  <c r="DW53" i="4"/>
  <c r="CJ53" i="4"/>
  <c r="CS53" i="4"/>
  <c r="DA53" i="4"/>
  <c r="DQ53" i="4"/>
  <c r="DG53" i="4"/>
  <c r="CU53" i="4"/>
  <c r="DO53" i="4"/>
  <c r="DX53" i="4"/>
  <c r="DE53" i="4"/>
  <c r="CL53" i="4"/>
  <c r="CT53" i="4"/>
  <c r="DB53" i="4"/>
  <c r="DY53" i="4"/>
  <c r="CM53" i="4"/>
  <c r="DC53" i="4"/>
  <c r="DO20" i="4"/>
  <c r="DW20" i="4"/>
  <c r="DE20" i="4"/>
  <c r="CM20" i="4"/>
  <c r="CU20" i="4"/>
  <c r="DC20" i="4"/>
  <c r="CO20" i="4"/>
  <c r="CW20" i="4"/>
  <c r="DP20" i="4"/>
  <c r="DX20" i="4"/>
  <c r="CN20" i="4"/>
  <c r="CV20" i="4"/>
  <c r="DD20" i="4"/>
  <c r="CH20" i="4"/>
  <c r="DH20" i="4"/>
  <c r="DQ20" i="4"/>
  <c r="DY20" i="4"/>
  <c r="CI20" i="4"/>
  <c r="CZ19" i="4"/>
  <c r="CR19" i="4"/>
  <c r="DE19" i="4"/>
  <c r="EB19" i="4"/>
  <c r="DT19" i="4"/>
  <c r="DL19" i="4"/>
  <c r="CX54" i="4"/>
  <c r="CP54" i="4"/>
  <c r="EB54" i="4"/>
  <c r="DT54" i="4"/>
  <c r="DL54" i="4"/>
  <c r="CY19" i="4"/>
  <c r="CQ19" i="4"/>
  <c r="EA19" i="4"/>
  <c r="DS19" i="4"/>
  <c r="CI54" i="4"/>
  <c r="CW54" i="4"/>
  <c r="CO54" i="4"/>
  <c r="DE54" i="4"/>
  <c r="EA54" i="4"/>
  <c r="DS54" i="4"/>
  <c r="F10" i="42"/>
  <c r="F10" i="43"/>
  <c r="F10" i="44"/>
  <c r="F10" i="45"/>
  <c r="F10" i="41"/>
  <c r="F10" i="37"/>
  <c r="F10" i="28"/>
  <c r="F10" i="38"/>
  <c r="F10" i="35"/>
  <c r="F10" i="36"/>
  <c r="F10" i="39"/>
  <c r="BG53" i="4"/>
  <c r="AY53" i="4"/>
  <c r="AQ53" i="4"/>
  <c r="DP53" i="4"/>
  <c r="DN53" i="4"/>
  <c r="DL53" i="4"/>
  <c r="BF53" i="4"/>
  <c r="AX53" i="4"/>
  <c r="AP53" i="4"/>
  <c r="BY53" i="4"/>
  <c r="BQ53" i="4"/>
  <c r="BJ53" i="4"/>
  <c r="BE53" i="4"/>
  <c r="AW53" i="4"/>
  <c r="AN53" i="4"/>
  <c r="BK53" i="4"/>
  <c r="CF53" i="4"/>
  <c r="BX53" i="4"/>
  <c r="BP53" i="4"/>
  <c r="BD53" i="4"/>
  <c r="AV53" i="4"/>
  <c r="AM53" i="4"/>
  <c r="CE53" i="4"/>
  <c r="BW53" i="4"/>
  <c r="BO53" i="4"/>
  <c r="BZ53" i="4"/>
  <c r="BC53" i="4"/>
  <c r="AU53" i="4"/>
  <c r="CD53" i="4"/>
  <c r="BV53" i="4"/>
  <c r="BN53" i="4"/>
  <c r="AL53" i="4"/>
  <c r="BB53" i="4"/>
  <c r="AT53" i="4"/>
  <c r="CC53" i="4"/>
  <c r="BU53" i="4"/>
  <c r="BL53" i="4"/>
  <c r="BR53" i="4"/>
  <c r="BA53" i="4"/>
  <c r="AS53" i="4"/>
  <c r="BI53" i="4"/>
  <c r="CB53" i="4"/>
  <c r="BT53" i="4"/>
  <c r="AK53" i="4"/>
  <c r="BH53" i="4"/>
  <c r="AZ53" i="4"/>
  <c r="AR53" i="4"/>
  <c r="CA53" i="4"/>
  <c r="I85" i="4"/>
  <c r="DI85" i="4" s="1"/>
  <c r="H23" i="46"/>
  <c r="H93" i="30"/>
  <c r="J93" i="30" s="1"/>
  <c r="J20" i="46"/>
  <c r="J16" i="46"/>
  <c r="H16" i="46"/>
  <c r="J9" i="46"/>
  <c r="H8" i="30"/>
  <c r="J8" i="30" s="1"/>
  <c r="F147" i="30"/>
  <c r="H60" i="46"/>
  <c r="H62" i="46" s="1"/>
  <c r="J111" i="46"/>
  <c r="J118" i="46" s="1"/>
  <c r="F19" i="46" s="1"/>
  <c r="H157" i="46"/>
  <c r="J134" i="46"/>
  <c r="L157" i="46"/>
  <c r="J106" i="46"/>
  <c r="J126" i="46"/>
  <c r="J84" i="46"/>
  <c r="J62" i="46"/>
  <c r="F62" i="46"/>
  <c r="AC39" i="46" s="1"/>
  <c r="AC32" i="46"/>
  <c r="AC25" i="46"/>
  <c r="AC29" i="46"/>
  <c r="H81" i="34"/>
  <c r="H80" i="34"/>
  <c r="H79" i="34"/>
  <c r="H78" i="34"/>
  <c r="F112" i="33"/>
  <c r="F190" i="23"/>
  <c r="L185" i="23"/>
  <c r="H185" i="23"/>
  <c r="H177" i="23"/>
  <c r="L177" i="23"/>
  <c r="L288" i="20"/>
  <c r="H288" i="20"/>
  <c r="L173" i="20"/>
  <c r="H173" i="20"/>
  <c r="H174" i="20"/>
  <c r="L168" i="20"/>
  <c r="H168" i="20"/>
  <c r="L355" i="20"/>
  <c r="L356" i="20"/>
  <c r="L357" i="20"/>
  <c r="L358" i="20"/>
  <c r="L359" i="20"/>
  <c r="L354" i="20"/>
  <c r="H355" i="20"/>
  <c r="H356" i="20"/>
  <c r="H357" i="20"/>
  <c r="H358" i="20"/>
  <c r="H359" i="20"/>
  <c r="H354" i="20"/>
  <c r="H287" i="20"/>
  <c r="H289" i="20"/>
  <c r="H290" i="20"/>
  <c r="H291" i="20"/>
  <c r="H292" i="20"/>
  <c r="H278" i="20"/>
  <c r="H279" i="20"/>
  <c r="H280" i="20"/>
  <c r="H281" i="20"/>
  <c r="H277" i="20"/>
  <c r="H9" i="43"/>
  <c r="F9" i="43" s="1"/>
  <c r="J9" i="43" s="1"/>
  <c r="H10" i="44"/>
  <c r="H9" i="44"/>
  <c r="F9" i="44" s="1"/>
  <c r="J9" i="44" s="1"/>
  <c r="F123" i="45"/>
  <c r="F123" i="44"/>
  <c r="F120" i="43"/>
  <c r="F120" i="42"/>
  <c r="F120" i="41"/>
  <c r="H60" i="41"/>
  <c r="F60" i="41"/>
  <c r="J60" i="41" s="1"/>
  <c r="J46" i="41"/>
  <c r="F46" i="41" s="1"/>
  <c r="J39" i="41"/>
  <c r="F39" i="41" s="1"/>
  <c r="J32" i="41"/>
  <c r="F32" i="41" s="1"/>
  <c r="H54" i="41"/>
  <c r="H55" i="41"/>
  <c r="H53" i="41"/>
  <c r="H47" i="41"/>
  <c r="H48" i="41"/>
  <c r="H49" i="41"/>
  <c r="H46" i="41"/>
  <c r="H40" i="41"/>
  <c r="H41" i="41"/>
  <c r="H42" i="41"/>
  <c r="H39" i="41"/>
  <c r="H33" i="41"/>
  <c r="H34" i="41"/>
  <c r="H35" i="41"/>
  <c r="H32" i="41"/>
  <c r="H27" i="41"/>
  <c r="H26" i="41"/>
  <c r="F23" i="41"/>
  <c r="J23" i="41" s="1"/>
  <c r="F22" i="41"/>
  <c r="J22" i="41" s="1"/>
  <c r="F21" i="41"/>
  <c r="J21" i="41" s="1"/>
  <c r="F18" i="41"/>
  <c r="J18" i="41" s="1"/>
  <c r="F17" i="41"/>
  <c r="J17" i="41" s="1"/>
  <c r="F16" i="41"/>
  <c r="J16" i="41" s="1"/>
  <c r="H17" i="41"/>
  <c r="H18" i="41"/>
  <c r="H19" i="41"/>
  <c r="H20" i="41"/>
  <c r="H21" i="41"/>
  <c r="H22" i="41"/>
  <c r="H23" i="41"/>
  <c r="H16" i="41"/>
  <c r="H10" i="41"/>
  <c r="H9" i="41"/>
  <c r="F9" i="41" s="1"/>
  <c r="J9" i="41" s="1"/>
  <c r="H60" i="42"/>
  <c r="F60" i="42"/>
  <c r="J60" i="42" s="1"/>
  <c r="H54" i="42"/>
  <c r="H55" i="42"/>
  <c r="H53" i="42"/>
  <c r="H47" i="42"/>
  <c r="H48" i="42"/>
  <c r="H49" i="42"/>
  <c r="H46" i="42"/>
  <c r="H40" i="42"/>
  <c r="H41" i="42"/>
  <c r="H42" i="42"/>
  <c r="H39" i="42"/>
  <c r="H33" i="42"/>
  <c r="H34" i="42"/>
  <c r="H35" i="42"/>
  <c r="H32" i="42"/>
  <c r="H27" i="42"/>
  <c r="H26" i="42"/>
  <c r="H17" i="42"/>
  <c r="H18" i="42"/>
  <c r="H19" i="42"/>
  <c r="H20" i="42"/>
  <c r="H21" i="42"/>
  <c r="H22" i="42"/>
  <c r="H23" i="42"/>
  <c r="H16" i="42"/>
  <c r="F23" i="42"/>
  <c r="J23" i="42" s="1"/>
  <c r="F22" i="42"/>
  <c r="J22" i="42" s="1"/>
  <c r="F21" i="42"/>
  <c r="J21" i="42" s="1"/>
  <c r="F18" i="42"/>
  <c r="J18" i="42" s="1"/>
  <c r="F17" i="42"/>
  <c r="J17" i="42" s="1"/>
  <c r="F16" i="42"/>
  <c r="J16" i="42" s="1"/>
  <c r="H10" i="42"/>
  <c r="H9" i="42"/>
  <c r="F9" i="42" s="1"/>
  <c r="J9" i="42" s="1"/>
  <c r="F60" i="43"/>
  <c r="J60" i="43" s="1"/>
  <c r="H60" i="43"/>
  <c r="H54" i="43"/>
  <c r="H55" i="43"/>
  <c r="H53" i="43"/>
  <c r="H47" i="43"/>
  <c r="H48" i="43"/>
  <c r="H49" i="43"/>
  <c r="H46" i="43"/>
  <c r="H40" i="43"/>
  <c r="H41" i="43"/>
  <c r="H42" i="43"/>
  <c r="H39" i="43"/>
  <c r="H33" i="43"/>
  <c r="H34" i="43"/>
  <c r="H35" i="43"/>
  <c r="H32" i="43"/>
  <c r="H27" i="43"/>
  <c r="H26" i="43"/>
  <c r="F23" i="43"/>
  <c r="J23" i="43" s="1"/>
  <c r="F22" i="43"/>
  <c r="J22" i="43" s="1"/>
  <c r="F21" i="43"/>
  <c r="J21" i="43" s="1"/>
  <c r="F18" i="43"/>
  <c r="J18" i="43" s="1"/>
  <c r="F17" i="43"/>
  <c r="J17" i="43" s="1"/>
  <c r="F16" i="43"/>
  <c r="J16" i="43" s="1"/>
  <c r="H17" i="43"/>
  <c r="H18" i="43"/>
  <c r="H21" i="43"/>
  <c r="H22" i="43"/>
  <c r="H23" i="43"/>
  <c r="H16" i="43"/>
  <c r="H10" i="43"/>
  <c r="F60" i="45"/>
  <c r="H60" i="45"/>
  <c r="H33" i="45"/>
  <c r="H34" i="45"/>
  <c r="H35" i="45"/>
  <c r="H32" i="45"/>
  <c r="F60" i="44"/>
  <c r="J60" i="44" s="1"/>
  <c r="H60" i="44"/>
  <c r="H54" i="44"/>
  <c r="H55" i="44"/>
  <c r="H53" i="44"/>
  <c r="H47" i="44"/>
  <c r="H48" i="44"/>
  <c r="H49" i="44"/>
  <c r="H46" i="44"/>
  <c r="H40" i="44"/>
  <c r="H41" i="44"/>
  <c r="H42" i="44"/>
  <c r="H39" i="44"/>
  <c r="H33" i="44"/>
  <c r="H34" i="44"/>
  <c r="H35" i="44"/>
  <c r="H32" i="44"/>
  <c r="H27" i="44"/>
  <c r="H26" i="44"/>
  <c r="H17" i="44"/>
  <c r="H18" i="44"/>
  <c r="H19" i="44"/>
  <c r="H20" i="44"/>
  <c r="H21" i="44"/>
  <c r="H22" i="44"/>
  <c r="H23" i="44"/>
  <c r="H16" i="44"/>
  <c r="F23" i="44"/>
  <c r="J23" i="44" s="1"/>
  <c r="F22" i="44"/>
  <c r="J22" i="44" s="1"/>
  <c r="F21" i="44"/>
  <c r="J21" i="44" s="1"/>
  <c r="F20" i="44"/>
  <c r="J20" i="44" s="1"/>
  <c r="F18" i="44"/>
  <c r="J18" i="44" s="1"/>
  <c r="F17" i="44"/>
  <c r="J17" i="44" s="1"/>
  <c r="F16" i="44"/>
  <c r="J16" i="44" s="1"/>
  <c r="B75" i="4"/>
  <c r="C75" i="4"/>
  <c r="F75" i="4"/>
  <c r="S41" i="4"/>
  <c r="R41" i="4"/>
  <c r="BW84" i="4" l="1"/>
  <c r="AY84" i="4"/>
  <c r="CX84" i="4"/>
  <c r="AK85" i="4"/>
  <c r="BM85" i="4"/>
  <c r="DL84" i="4"/>
  <c r="CK84" i="4"/>
  <c r="BG84" i="4"/>
  <c r="DM84" i="4"/>
  <c r="DN85" i="4"/>
  <c r="CK85" i="4"/>
  <c r="DU84" i="4"/>
  <c r="BM84" i="4"/>
  <c r="AU84" i="4"/>
  <c r="AQ84" i="4"/>
  <c r="CP84" i="4"/>
  <c r="AT84" i="4"/>
  <c r="BB84" i="4"/>
  <c r="CS84" i="4"/>
  <c r="CG84" i="4"/>
  <c r="BV84" i="4"/>
  <c r="BQ84" i="4"/>
  <c r="AO85" i="4"/>
  <c r="DN84" i="4"/>
  <c r="DV84" i="4"/>
  <c r="BR84" i="4"/>
  <c r="AR84" i="4"/>
  <c r="BJ84" i="4"/>
  <c r="BC84" i="4"/>
  <c r="BF84" i="4"/>
  <c r="DS84" i="4"/>
  <c r="BX84" i="4"/>
  <c r="DQ84" i="4"/>
  <c r="AO84" i="4"/>
  <c r="CE85" i="4"/>
  <c r="BW85" i="4"/>
  <c r="BY84" i="4"/>
  <c r="DB84" i="4"/>
  <c r="DE84" i="4"/>
  <c r="CO84" i="4"/>
  <c r="BO84" i="4"/>
  <c r="AW84" i="4"/>
  <c r="DO84" i="4"/>
  <c r="CW84" i="4"/>
  <c r="AS84" i="4"/>
  <c r="BE84" i="4"/>
  <c r="DW84" i="4"/>
  <c r="BN84" i="4"/>
  <c r="CY84" i="4"/>
  <c r="CJ84" i="4"/>
  <c r="BD84" i="4"/>
  <c r="AN84" i="4"/>
  <c r="AX84" i="4"/>
  <c r="BU84" i="4"/>
  <c r="DX84" i="4"/>
  <c r="DH84" i="4"/>
  <c r="DZ84" i="4"/>
  <c r="DT84" i="4"/>
  <c r="AM84" i="4"/>
  <c r="CH84" i="4"/>
  <c r="CA84" i="4"/>
  <c r="CV84" i="4"/>
  <c r="DG84" i="4"/>
  <c r="AZ84" i="4"/>
  <c r="DJ84" i="4"/>
  <c r="EB84" i="4"/>
  <c r="AV84" i="4"/>
  <c r="BZ84" i="4"/>
  <c r="AP84" i="4"/>
  <c r="DD84" i="4"/>
  <c r="DP84" i="4"/>
  <c r="CR84" i="4"/>
  <c r="DR84" i="4"/>
  <c r="BG85" i="4"/>
  <c r="DX85" i="4"/>
  <c r="CB85" i="4"/>
  <c r="AY85" i="4"/>
  <c r="DH85" i="4"/>
  <c r="CL85" i="4"/>
  <c r="DV85" i="4"/>
  <c r="DW85" i="4"/>
  <c r="BR85" i="4"/>
  <c r="AW85" i="4"/>
  <c r="DG85" i="4"/>
  <c r="BE85" i="4"/>
  <c r="DK85" i="4"/>
  <c r="CV85" i="4"/>
  <c r="BX85" i="4"/>
  <c r="BH85" i="4"/>
  <c r="BB85" i="4"/>
  <c r="AU85" i="4"/>
  <c r="CS85" i="4"/>
  <c r="DC85" i="4"/>
  <c r="DD85" i="4"/>
  <c r="DE85" i="4"/>
  <c r="CF85" i="4"/>
  <c r="BQ85" i="4"/>
  <c r="CG85" i="4"/>
  <c r="CI85" i="4"/>
  <c r="DA85" i="4"/>
  <c r="BV85" i="4"/>
  <c r="AQ85" i="4"/>
  <c r="DO85" i="4"/>
  <c r="BP85" i="4"/>
  <c r="BZ85" i="4"/>
  <c r="CR85" i="4"/>
  <c r="BI85" i="4"/>
  <c r="AN85" i="4"/>
  <c r="CP85" i="4"/>
  <c r="DQ85" i="4"/>
  <c r="BO85" i="4"/>
  <c r="AR85" i="4"/>
  <c r="CX85" i="4"/>
  <c r="BA85" i="4"/>
  <c r="DY85" i="4"/>
  <c r="DZ85" i="4"/>
  <c r="AM85" i="4"/>
  <c r="DB85" i="4"/>
  <c r="BF85" i="4"/>
  <c r="CW85" i="4"/>
  <c r="AS85" i="4"/>
  <c r="BS85" i="4"/>
  <c r="EA85" i="4"/>
  <c r="CT85" i="4"/>
  <c r="CN85" i="4"/>
  <c r="AZ85" i="4"/>
  <c r="CH85" i="4"/>
  <c r="BD85" i="4"/>
  <c r="CU85" i="4"/>
  <c r="BY85" i="4"/>
  <c r="CZ85" i="4"/>
  <c r="BC85" i="4"/>
  <c r="BK85" i="4"/>
  <c r="DL85" i="4"/>
  <c r="CC85" i="4"/>
  <c r="DU85" i="4"/>
  <c r="CQ85" i="4"/>
  <c r="DJ85" i="4"/>
  <c r="CA85" i="4"/>
  <c r="BT85" i="4"/>
  <c r="DT85" i="4"/>
  <c r="BL85" i="4"/>
  <c r="AX85" i="4"/>
  <c r="AL85" i="4"/>
  <c r="CO85" i="4"/>
  <c r="DP85" i="4"/>
  <c r="CY85" i="4"/>
  <c r="AT85" i="4"/>
  <c r="DR85" i="4"/>
  <c r="BJ85" i="4"/>
  <c r="CJ85" i="4"/>
  <c r="EB85" i="4"/>
  <c r="CM85" i="4"/>
  <c r="AP85" i="4"/>
  <c r="CM84" i="4"/>
  <c r="BK84" i="4"/>
  <c r="AL84" i="4"/>
  <c r="CB84" i="4"/>
  <c r="BI84" i="4"/>
  <c r="BH84" i="4"/>
  <c r="DY84" i="4"/>
  <c r="BA84" i="4"/>
  <c r="CE84" i="4"/>
  <c r="DM85" i="4"/>
  <c r="CL84" i="4"/>
  <c r="CU84" i="4"/>
  <c r="BT84" i="4"/>
  <c r="CC84" i="4"/>
  <c r="DK84" i="4"/>
  <c r="DA84" i="4"/>
  <c r="CF84" i="4"/>
  <c r="CT84" i="4"/>
  <c r="BS84" i="4"/>
  <c r="EA84" i="4"/>
  <c r="DC84" i="4"/>
  <c r="CI84" i="4"/>
  <c r="CN84" i="4"/>
  <c r="BL84" i="4"/>
  <c r="AK84" i="4"/>
  <c r="DS85" i="4"/>
  <c r="CD84" i="4"/>
  <c r="AV85" i="4"/>
  <c r="CQ84" i="4"/>
  <c r="BP84" i="4"/>
  <c r="CZ84" i="4"/>
  <c r="CD85" i="4"/>
  <c r="BU85" i="4"/>
  <c r="BN85" i="4"/>
  <c r="H10" i="46"/>
  <c r="J19" i="46"/>
  <c r="H19" i="46"/>
  <c r="J17" i="46"/>
  <c r="H17" i="46"/>
  <c r="J18" i="46"/>
  <c r="H18" i="46"/>
  <c r="H21" i="46"/>
  <c r="J21" i="46"/>
  <c r="AC30" i="46"/>
  <c r="AC27" i="46"/>
  <c r="AC28" i="46"/>
  <c r="I75" i="4"/>
  <c r="D141" i="46"/>
  <c r="F140" i="46"/>
  <c r="J140" i="46" s="1"/>
  <c r="J146" i="46" s="1"/>
  <c r="F22" i="46" s="1"/>
  <c r="AC26" i="46"/>
  <c r="F236" i="22"/>
  <c r="J236" i="22" s="1"/>
  <c r="F235" i="22"/>
  <c r="J235" i="22" s="1"/>
  <c r="F234" i="22"/>
  <c r="J234" i="22" s="1"/>
  <c r="F233" i="22"/>
  <c r="J233" i="22" s="1"/>
  <c r="F230" i="22"/>
  <c r="J230" i="22" s="1"/>
  <c r="J244" i="22"/>
  <c r="J243" i="22"/>
  <c r="J223" i="22"/>
  <c r="J222" i="22"/>
  <c r="J221" i="22"/>
  <c r="F240" i="26"/>
  <c r="J240" i="26" s="1"/>
  <c r="F239" i="26"/>
  <c r="J239" i="26" s="1"/>
  <c r="F238" i="26"/>
  <c r="J238" i="26" s="1"/>
  <c r="F236" i="26"/>
  <c r="J236" i="26" s="1"/>
  <c r="F235" i="26"/>
  <c r="J235" i="26" s="1"/>
  <c r="F234" i="26"/>
  <c r="J234" i="26" s="1"/>
  <c r="J249" i="26"/>
  <c r="J248" i="26"/>
  <c r="J227" i="26"/>
  <c r="J226" i="26"/>
  <c r="J225" i="26"/>
  <c r="F396" i="26"/>
  <c r="D367" i="26" s="1"/>
  <c r="D368" i="26" s="1"/>
  <c r="F344" i="26"/>
  <c r="F343" i="26"/>
  <c r="F342" i="26"/>
  <c r="F340" i="26"/>
  <c r="F339" i="26"/>
  <c r="F338" i="26"/>
  <c r="F296" i="26"/>
  <c r="L292" i="26"/>
  <c r="H292" i="26"/>
  <c r="L291" i="26"/>
  <c r="H291" i="26"/>
  <c r="J296" i="26"/>
  <c r="L296" i="26" s="1"/>
  <c r="L290" i="26"/>
  <c r="H290" i="26"/>
  <c r="J286" i="22"/>
  <c r="L286" i="22" s="1"/>
  <c r="F286" i="22"/>
  <c r="H286" i="22" s="1"/>
  <c r="L282" i="22"/>
  <c r="H282" i="22"/>
  <c r="F380" i="22"/>
  <c r="F347" i="25"/>
  <c r="F297" i="25"/>
  <c r="F296" i="25"/>
  <c r="F295" i="25"/>
  <c r="F294" i="25"/>
  <c r="F293" i="25"/>
  <c r="F292" i="25"/>
  <c r="F291" i="25"/>
  <c r="J277" i="21"/>
  <c r="F277" i="21"/>
  <c r="F302" i="20"/>
  <c r="H302" i="20" s="1"/>
  <c r="F93" i="20" s="1"/>
  <c r="J182" i="24"/>
  <c r="F182" i="24"/>
  <c r="H182" i="24" s="1"/>
  <c r="H190" i="23"/>
  <c r="S26" i="27"/>
  <c r="S41" i="27"/>
  <c r="S38" i="27"/>
  <c r="S35" i="27"/>
  <c r="S32" i="27"/>
  <c r="S29" i="27"/>
  <c r="S20" i="27"/>
  <c r="H296" i="26" l="1"/>
  <c r="D265" i="26"/>
  <c r="D266" i="26" s="1"/>
  <c r="CH75" i="4"/>
  <c r="S21" i="27"/>
  <c r="G28" i="27" s="1"/>
  <c r="S33" i="27"/>
  <c r="G31" i="27" s="1"/>
  <c r="S30" i="27"/>
  <c r="G30" i="27" s="1"/>
  <c r="S42" i="27"/>
  <c r="S36" i="27"/>
  <c r="G32" i="27" s="1"/>
  <c r="H22" i="46"/>
  <c r="H24" i="46" s="1"/>
  <c r="J22" i="46"/>
  <c r="J24" i="46" s="1"/>
  <c r="AL75" i="4"/>
  <c r="BJ75" i="4"/>
  <c r="AC31" i="46"/>
  <c r="F24" i="46"/>
  <c r="S27" i="27"/>
  <c r="G29" i="27" s="1"/>
  <c r="S39" i="27"/>
  <c r="G33" i="27" s="1"/>
  <c r="J224" i="22"/>
  <c r="J228" i="26"/>
  <c r="O16" i="26"/>
  <c r="O17" i="26"/>
  <c r="O15" i="26"/>
  <c r="J343" i="26"/>
  <c r="O16" i="22"/>
  <c r="O17" i="22"/>
  <c r="O15" i="22"/>
  <c r="F329" i="22"/>
  <c r="J329" i="22" s="1"/>
  <c r="F330" i="22"/>
  <c r="F328" i="22"/>
  <c r="F327" i="22"/>
  <c r="F324" i="22"/>
  <c r="F133" i="23"/>
  <c r="F132" i="23"/>
  <c r="J132" i="23" s="1"/>
  <c r="F131" i="23"/>
  <c r="F128" i="23"/>
  <c r="F127" i="23"/>
  <c r="F126" i="23"/>
  <c r="J126" i="23" s="1"/>
  <c r="F127" i="24"/>
  <c r="F126" i="24"/>
  <c r="J126" i="24" s="1"/>
  <c r="F125" i="24"/>
  <c r="F124" i="24"/>
  <c r="F121" i="24"/>
  <c r="F225" i="21"/>
  <c r="F224" i="21"/>
  <c r="J224" i="21" s="1"/>
  <c r="F223" i="21"/>
  <c r="F222" i="21"/>
  <c r="F219" i="21"/>
  <c r="O16" i="25"/>
  <c r="O17" i="25"/>
  <c r="O15" i="25"/>
  <c r="J296" i="25"/>
  <c r="O16" i="24"/>
  <c r="O17" i="24"/>
  <c r="O15" i="24"/>
  <c r="O16" i="21"/>
  <c r="O17" i="21"/>
  <c r="O15" i="21"/>
  <c r="O16" i="23"/>
  <c r="O17" i="23"/>
  <c r="O15" i="23"/>
  <c r="F236" i="20"/>
  <c r="J236" i="20" s="1"/>
  <c r="F237" i="20"/>
  <c r="J237" i="20" s="1"/>
  <c r="O16" i="20"/>
  <c r="O17" i="20"/>
  <c r="O15" i="20"/>
  <c r="F235" i="20"/>
  <c r="O15" i="41"/>
  <c r="O16" i="41"/>
  <c r="O17" i="41"/>
  <c r="O14" i="41"/>
  <c r="F115" i="45"/>
  <c r="J115" i="45" s="1"/>
  <c r="F116" i="45"/>
  <c r="J116" i="45" s="1"/>
  <c r="F117" i="45"/>
  <c r="J117" i="45" s="1"/>
  <c r="F114" i="45"/>
  <c r="J114" i="45" s="1"/>
  <c r="F115" i="44"/>
  <c r="J115" i="44" s="1"/>
  <c r="F116" i="44"/>
  <c r="J116" i="44" s="1"/>
  <c r="F117" i="44"/>
  <c r="J117" i="44" s="1"/>
  <c r="F114" i="44"/>
  <c r="J114" i="44" s="1"/>
  <c r="F112" i="43"/>
  <c r="J112" i="43" s="1"/>
  <c r="F113" i="43"/>
  <c r="J113" i="43" s="1"/>
  <c r="F114" i="43"/>
  <c r="J114" i="43" s="1"/>
  <c r="F111" i="43"/>
  <c r="J111" i="43" s="1"/>
  <c r="F112" i="42"/>
  <c r="J112" i="42" s="1"/>
  <c r="F113" i="42"/>
  <c r="J113" i="42" s="1"/>
  <c r="F114" i="42"/>
  <c r="J114" i="42" s="1"/>
  <c r="F111" i="42"/>
  <c r="J111" i="42" s="1"/>
  <c r="F108" i="41"/>
  <c r="J108" i="41" s="1"/>
  <c r="F109" i="41"/>
  <c r="J109" i="41" s="1"/>
  <c r="J110" i="41"/>
  <c r="F107" i="41"/>
  <c r="J107" i="41" s="1"/>
  <c r="H18" i="30"/>
  <c r="H17" i="30"/>
  <c r="O15" i="42"/>
  <c r="O16" i="42"/>
  <c r="O17" i="42"/>
  <c r="O14" i="42"/>
  <c r="F108" i="42"/>
  <c r="J108" i="42" s="1"/>
  <c r="F109" i="42"/>
  <c r="J109" i="42" s="1"/>
  <c r="F110" i="42"/>
  <c r="J110" i="42" s="1"/>
  <c r="F107" i="42"/>
  <c r="J107" i="42" s="1"/>
  <c r="F108" i="43"/>
  <c r="J108" i="43" s="1"/>
  <c r="F109" i="43"/>
  <c r="J109" i="43" s="1"/>
  <c r="F110" i="43"/>
  <c r="J110" i="43" s="1"/>
  <c r="F107" i="43"/>
  <c r="J107" i="43" s="1"/>
  <c r="H16" i="30"/>
  <c r="O15" i="43"/>
  <c r="O16" i="43"/>
  <c r="O17" i="43"/>
  <c r="O14" i="43"/>
  <c r="S18" i="45"/>
  <c r="O15" i="44"/>
  <c r="O16" i="44"/>
  <c r="O17" i="44"/>
  <c r="O14" i="44"/>
  <c r="F111" i="44"/>
  <c r="J111" i="44" s="1"/>
  <c r="F112" i="44"/>
  <c r="J112" i="44" s="1"/>
  <c r="F113" i="44"/>
  <c r="J113" i="44" s="1"/>
  <c r="F110" i="44"/>
  <c r="J110" i="44" s="1"/>
  <c r="H9" i="45"/>
  <c r="O15" i="45"/>
  <c r="O16" i="45"/>
  <c r="O17" i="45"/>
  <c r="O14" i="45"/>
  <c r="F111" i="45"/>
  <c r="J111" i="45" s="1"/>
  <c r="F112" i="45"/>
  <c r="J112" i="45" s="1"/>
  <c r="F113" i="45"/>
  <c r="J113" i="45" s="1"/>
  <c r="F110" i="45"/>
  <c r="J110" i="45" s="1"/>
  <c r="F112" i="38"/>
  <c r="F113" i="38"/>
  <c r="F114" i="38"/>
  <c r="F115" i="34"/>
  <c r="J115" i="34" s="1"/>
  <c r="F116" i="34"/>
  <c r="J116" i="34" s="1"/>
  <c r="F117" i="34"/>
  <c r="F114" i="34"/>
  <c r="F115" i="33"/>
  <c r="F113" i="33"/>
  <c r="J113" i="33" s="1"/>
  <c r="F114" i="33"/>
  <c r="J112" i="33"/>
  <c r="F114" i="32"/>
  <c r="J114" i="32" s="1"/>
  <c r="F115" i="32"/>
  <c r="F116" i="32"/>
  <c r="F113" i="32"/>
  <c r="J113" i="32" s="1"/>
  <c r="F111" i="38"/>
  <c r="O15" i="38"/>
  <c r="O16" i="38"/>
  <c r="O17" i="38"/>
  <c r="O14" i="38"/>
  <c r="F108" i="38"/>
  <c r="F109" i="38"/>
  <c r="F110" i="38"/>
  <c r="F107" i="38"/>
  <c r="H9" i="38"/>
  <c r="H9" i="32"/>
  <c r="Q15" i="32"/>
  <c r="Q16" i="32"/>
  <c r="Q14" i="32"/>
  <c r="O15" i="32"/>
  <c r="O16" i="32"/>
  <c r="O17" i="32"/>
  <c r="O14" i="32"/>
  <c r="F110" i="32"/>
  <c r="F111" i="32"/>
  <c r="F112" i="32"/>
  <c r="F109" i="32"/>
  <c r="F109" i="33"/>
  <c r="F110" i="33"/>
  <c r="F111" i="33"/>
  <c r="F108" i="33"/>
  <c r="H10" i="33"/>
  <c r="F10" i="33" s="1"/>
  <c r="F11" i="49" s="1"/>
  <c r="O16" i="33"/>
  <c r="O17" i="33"/>
  <c r="O18" i="33"/>
  <c r="H9" i="34"/>
  <c r="Q15" i="34"/>
  <c r="Q16" i="34"/>
  <c r="Q17" i="34"/>
  <c r="Q14" i="34"/>
  <c r="O16" i="34"/>
  <c r="O17" i="34"/>
  <c r="O15" i="34"/>
  <c r="O14" i="34"/>
  <c r="F15" i="30"/>
  <c r="F16" i="30"/>
  <c r="F17" i="30"/>
  <c r="F18" i="30"/>
  <c r="F14" i="30"/>
  <c r="H16" i="45"/>
  <c r="F23" i="45"/>
  <c r="AC32" i="45" s="1"/>
  <c r="F22" i="45"/>
  <c r="J22" i="45" s="1"/>
  <c r="F21" i="45"/>
  <c r="AC30" i="45" s="1"/>
  <c r="F20" i="45"/>
  <c r="J20" i="45" s="1"/>
  <c r="F18" i="45"/>
  <c r="H18" i="45" s="1"/>
  <c r="F17" i="45"/>
  <c r="J17" i="45" s="1"/>
  <c r="F16" i="45"/>
  <c r="J16" i="45" s="1"/>
  <c r="H14" i="30"/>
  <c r="J169" i="41"/>
  <c r="L169" i="41" s="1"/>
  <c r="F169" i="41"/>
  <c r="D137" i="41" s="1"/>
  <c r="L168" i="41"/>
  <c r="H168" i="41"/>
  <c r="L167" i="41"/>
  <c r="H167" i="41"/>
  <c r="L166" i="41"/>
  <c r="H166" i="41"/>
  <c r="L165" i="41"/>
  <c r="H165" i="41"/>
  <c r="L164" i="41"/>
  <c r="H164" i="41"/>
  <c r="L163" i="41"/>
  <c r="H163" i="41"/>
  <c r="L162" i="41"/>
  <c r="H162" i="41"/>
  <c r="L161" i="41"/>
  <c r="H161" i="41"/>
  <c r="L160" i="41"/>
  <c r="H160" i="41"/>
  <c r="L159" i="41"/>
  <c r="H159" i="41"/>
  <c r="L158" i="41"/>
  <c r="H158" i="41"/>
  <c r="L157" i="41"/>
  <c r="H157" i="41"/>
  <c r="L156" i="41"/>
  <c r="H156" i="41"/>
  <c r="L155" i="41"/>
  <c r="H155" i="41"/>
  <c r="L154" i="41"/>
  <c r="H154" i="41"/>
  <c r="L153" i="41"/>
  <c r="H153" i="41"/>
  <c r="J142" i="41"/>
  <c r="J141" i="41"/>
  <c r="J140" i="41"/>
  <c r="J139" i="41"/>
  <c r="J138" i="41"/>
  <c r="J136" i="41"/>
  <c r="J130" i="41"/>
  <c r="J129" i="41"/>
  <c r="J128" i="41"/>
  <c r="J131" i="41" s="1"/>
  <c r="J122" i="41"/>
  <c r="J121" i="41"/>
  <c r="J120" i="41"/>
  <c r="J123" i="41" s="1"/>
  <c r="F20" i="41" s="1"/>
  <c r="J20" i="41" s="1"/>
  <c r="J101" i="41"/>
  <c r="J100" i="41"/>
  <c r="J99" i="41"/>
  <c r="J98" i="41"/>
  <c r="J95" i="41"/>
  <c r="J94" i="41"/>
  <c r="J93" i="41"/>
  <c r="J92" i="41"/>
  <c r="J91" i="41"/>
  <c r="J90" i="41"/>
  <c r="J82" i="41"/>
  <c r="J81" i="41"/>
  <c r="J80" i="41"/>
  <c r="J79" i="41"/>
  <c r="J78" i="41"/>
  <c r="J73" i="41"/>
  <c r="J62" i="41"/>
  <c r="AB32" i="41"/>
  <c r="AB31" i="41"/>
  <c r="AB30" i="41"/>
  <c r="AB29" i="41"/>
  <c r="AB28" i="41"/>
  <c r="AB27" i="41"/>
  <c r="AB26" i="41"/>
  <c r="AC31" i="41"/>
  <c r="AC30" i="41"/>
  <c r="S18" i="41"/>
  <c r="O19" i="41" s="1"/>
  <c r="AC27" i="41"/>
  <c r="AC26" i="41"/>
  <c r="J169" i="42"/>
  <c r="L169" i="42" s="1"/>
  <c r="F169" i="42"/>
  <c r="D137" i="42" s="1"/>
  <c r="L168" i="42"/>
  <c r="H168" i="42"/>
  <c r="L167" i="42"/>
  <c r="H167" i="42"/>
  <c r="L166" i="42"/>
  <c r="H166" i="42"/>
  <c r="L165" i="42"/>
  <c r="H165" i="42"/>
  <c r="L164" i="42"/>
  <c r="H164" i="42"/>
  <c r="L163" i="42"/>
  <c r="H163" i="42"/>
  <c r="L162" i="42"/>
  <c r="H162" i="42"/>
  <c r="L161" i="42"/>
  <c r="H161" i="42"/>
  <c r="L160" i="42"/>
  <c r="H160" i="42"/>
  <c r="L159" i="42"/>
  <c r="H159" i="42"/>
  <c r="L158" i="42"/>
  <c r="H158" i="42"/>
  <c r="L157" i="42"/>
  <c r="H157" i="42"/>
  <c r="L156" i="42"/>
  <c r="H156" i="42"/>
  <c r="L155" i="42"/>
  <c r="H155" i="42"/>
  <c r="L154" i="42"/>
  <c r="H154" i="42"/>
  <c r="L153" i="42"/>
  <c r="H153" i="42"/>
  <c r="J142" i="42"/>
  <c r="J141" i="42"/>
  <c r="J140" i="42"/>
  <c r="J139" i="42"/>
  <c r="J138" i="42"/>
  <c r="J136" i="42"/>
  <c r="J130" i="42"/>
  <c r="J129" i="42"/>
  <c r="J128" i="42"/>
  <c r="J131" i="42" s="1"/>
  <c r="J122" i="42"/>
  <c r="J121" i="42"/>
  <c r="J120" i="42"/>
  <c r="J101" i="42"/>
  <c r="J100" i="42"/>
  <c r="J99" i="42"/>
  <c r="J98" i="42"/>
  <c r="J95" i="42"/>
  <c r="J94" i="42"/>
  <c r="J93" i="42"/>
  <c r="J92" i="42"/>
  <c r="J91" i="42"/>
  <c r="J90" i="42"/>
  <c r="J82" i="42"/>
  <c r="J81" i="42"/>
  <c r="J80" i="42"/>
  <c r="J79" i="42"/>
  <c r="J78" i="42"/>
  <c r="J73" i="42"/>
  <c r="J62" i="42"/>
  <c r="AB32" i="42"/>
  <c r="AB31" i="42"/>
  <c r="AB30" i="42"/>
  <c r="AB29" i="42"/>
  <c r="AB28" i="42"/>
  <c r="AB27" i="42"/>
  <c r="AB26" i="42"/>
  <c r="AC31" i="42"/>
  <c r="AC30" i="42"/>
  <c r="S18" i="42"/>
  <c r="O19" i="42" s="1"/>
  <c r="AC26" i="42"/>
  <c r="AC25" i="42"/>
  <c r="J169" i="43"/>
  <c r="L169" i="43" s="1"/>
  <c r="F169" i="43"/>
  <c r="D137" i="43" s="1"/>
  <c r="L168" i="43"/>
  <c r="H168" i="43"/>
  <c r="L167" i="43"/>
  <c r="H167" i="43"/>
  <c r="L166" i="43"/>
  <c r="H166" i="43"/>
  <c r="L165" i="43"/>
  <c r="H165" i="43"/>
  <c r="L164" i="43"/>
  <c r="H164" i="43"/>
  <c r="L163" i="43"/>
  <c r="H163" i="43"/>
  <c r="L162" i="43"/>
  <c r="H162" i="43"/>
  <c r="L161" i="43"/>
  <c r="H161" i="43"/>
  <c r="L160" i="43"/>
  <c r="H160" i="43"/>
  <c r="L159" i="43"/>
  <c r="H159" i="43"/>
  <c r="L158" i="43"/>
  <c r="H158" i="43"/>
  <c r="L157" i="43"/>
  <c r="H157" i="43"/>
  <c r="L156" i="43"/>
  <c r="H156" i="43"/>
  <c r="L155" i="43"/>
  <c r="H155" i="43"/>
  <c r="L154" i="43"/>
  <c r="H154" i="43"/>
  <c r="L153" i="43"/>
  <c r="H153" i="43"/>
  <c r="J142" i="43"/>
  <c r="J141" i="43"/>
  <c r="J140" i="43"/>
  <c r="J139" i="43"/>
  <c r="J138" i="43"/>
  <c r="J136" i="43"/>
  <c r="J130" i="43"/>
  <c r="J129" i="43"/>
  <c r="J128" i="43"/>
  <c r="J122" i="43"/>
  <c r="J121" i="43"/>
  <c r="J120" i="43"/>
  <c r="J101" i="43"/>
  <c r="J100" i="43"/>
  <c r="J99" i="43"/>
  <c r="J98" i="43"/>
  <c r="J95" i="43"/>
  <c r="J94" i="43"/>
  <c r="J93" i="43"/>
  <c r="J92" i="43"/>
  <c r="J91" i="43"/>
  <c r="J90" i="43"/>
  <c r="J82" i="43"/>
  <c r="J81" i="43"/>
  <c r="J80" i="43"/>
  <c r="J79" i="43"/>
  <c r="J83" i="43" s="1"/>
  <c r="J78" i="43"/>
  <c r="J73" i="43"/>
  <c r="F62" i="43"/>
  <c r="AC39" i="43" s="1"/>
  <c r="AB32" i="43"/>
  <c r="AB31" i="43"/>
  <c r="AB30" i="43"/>
  <c r="AB29" i="43"/>
  <c r="AB28" i="43"/>
  <c r="AB27" i="43"/>
  <c r="AB26" i="43"/>
  <c r="AC31" i="43"/>
  <c r="AC30" i="43"/>
  <c r="S18" i="43"/>
  <c r="O19" i="43" s="1"/>
  <c r="AC26" i="43"/>
  <c r="J173" i="44"/>
  <c r="L173" i="44" s="1"/>
  <c r="F173" i="44"/>
  <c r="H173" i="44" s="1"/>
  <c r="L156" i="44"/>
  <c r="L157" i="44" s="1"/>
  <c r="L158" i="44" s="1"/>
  <c r="L159" i="44" s="1"/>
  <c r="L160" i="44" s="1"/>
  <c r="L161" i="44" s="1"/>
  <c r="L162" i="44" s="1"/>
  <c r="L163" i="44" s="1"/>
  <c r="L164" i="44" s="1"/>
  <c r="L165" i="44" s="1"/>
  <c r="L166" i="44" s="1"/>
  <c r="L167" i="44" s="1"/>
  <c r="L168" i="44" s="1"/>
  <c r="L169" i="44" s="1"/>
  <c r="L170" i="44" s="1"/>
  <c r="L171" i="44" s="1"/>
  <c r="L172" i="44" s="1"/>
  <c r="H156" i="44"/>
  <c r="H157" i="44" s="1"/>
  <c r="H158" i="44" s="1"/>
  <c r="H159" i="44" s="1"/>
  <c r="H160" i="44" s="1"/>
  <c r="H161" i="44" s="1"/>
  <c r="H162" i="44" s="1"/>
  <c r="H163" i="44" s="1"/>
  <c r="H164" i="44" s="1"/>
  <c r="H165" i="44" s="1"/>
  <c r="H166" i="44" s="1"/>
  <c r="H167" i="44" s="1"/>
  <c r="H168" i="44" s="1"/>
  <c r="H169" i="44" s="1"/>
  <c r="H170" i="44" s="1"/>
  <c r="H171" i="44" s="1"/>
  <c r="H172" i="44" s="1"/>
  <c r="J145" i="44"/>
  <c r="J144" i="44"/>
  <c r="J143" i="44"/>
  <c r="J142" i="44"/>
  <c r="J141" i="44"/>
  <c r="D140" i="44"/>
  <c r="D141" i="44" s="1"/>
  <c r="J139" i="44"/>
  <c r="J133" i="44"/>
  <c r="J132" i="44"/>
  <c r="J131" i="44"/>
  <c r="J125" i="44"/>
  <c r="J124" i="44"/>
  <c r="J123" i="44"/>
  <c r="J126" i="44" s="1"/>
  <c r="J104" i="44"/>
  <c r="J103" i="44"/>
  <c r="J102" i="44"/>
  <c r="J101" i="44"/>
  <c r="J100" i="44"/>
  <c r="J97" i="44"/>
  <c r="J96" i="44"/>
  <c r="J95" i="44"/>
  <c r="J94" i="44"/>
  <c r="J93" i="44"/>
  <c r="J92" i="44"/>
  <c r="J91" i="44"/>
  <c r="J83" i="44"/>
  <c r="J82" i="44"/>
  <c r="J81" i="44"/>
  <c r="J80" i="44"/>
  <c r="J79" i="44"/>
  <c r="J78" i="44"/>
  <c r="J84" i="44" s="1"/>
  <c r="J73" i="44"/>
  <c r="F62" i="44"/>
  <c r="AC39" i="44" s="1"/>
  <c r="AB32" i="44"/>
  <c r="AB31" i="44"/>
  <c r="AB30" i="44"/>
  <c r="AB29" i="44"/>
  <c r="AB28" i="44"/>
  <c r="AB27" i="44"/>
  <c r="AB26" i="44"/>
  <c r="AC32" i="44"/>
  <c r="AC31" i="44"/>
  <c r="AC29" i="44"/>
  <c r="S18" i="44"/>
  <c r="O19" i="44" s="1"/>
  <c r="AC27" i="44"/>
  <c r="AC26" i="44"/>
  <c r="H15" i="30"/>
  <c r="J173" i="45"/>
  <c r="L173" i="45" s="1"/>
  <c r="F173" i="45"/>
  <c r="H173" i="45" s="1"/>
  <c r="L157" i="45"/>
  <c r="L158" i="45" s="1"/>
  <c r="L159" i="45" s="1"/>
  <c r="L160" i="45" s="1"/>
  <c r="L161" i="45" s="1"/>
  <c r="L162" i="45" s="1"/>
  <c r="L163" i="45" s="1"/>
  <c r="L164" i="45" s="1"/>
  <c r="L165" i="45" s="1"/>
  <c r="L166" i="45" s="1"/>
  <c r="L167" i="45" s="1"/>
  <c r="L168" i="45" s="1"/>
  <c r="L169" i="45" s="1"/>
  <c r="L170" i="45" s="1"/>
  <c r="L171" i="45" s="1"/>
  <c r="L172" i="45" s="1"/>
  <c r="H157" i="45"/>
  <c r="H158" i="45" s="1"/>
  <c r="H159" i="45" s="1"/>
  <c r="H160" i="45" s="1"/>
  <c r="H161" i="45" s="1"/>
  <c r="H162" i="45" s="1"/>
  <c r="H163" i="45" s="1"/>
  <c r="H164" i="45" s="1"/>
  <c r="H165" i="45" s="1"/>
  <c r="H166" i="45" s="1"/>
  <c r="H167" i="45" s="1"/>
  <c r="H168" i="45" s="1"/>
  <c r="H169" i="45" s="1"/>
  <c r="H170" i="45" s="1"/>
  <c r="H171" i="45" s="1"/>
  <c r="H172" i="45" s="1"/>
  <c r="L156" i="45"/>
  <c r="H156" i="45"/>
  <c r="J145" i="45"/>
  <c r="J144" i="45"/>
  <c r="J143" i="45"/>
  <c r="J142" i="45"/>
  <c r="J141" i="45"/>
  <c r="D140" i="45"/>
  <c r="D141" i="45" s="1"/>
  <c r="J139" i="45"/>
  <c r="J133" i="45"/>
  <c r="J132" i="45"/>
  <c r="J131" i="45"/>
  <c r="J134" i="45" s="1"/>
  <c r="J125" i="45"/>
  <c r="J124" i="45"/>
  <c r="J123" i="45"/>
  <c r="J126" i="45" s="1"/>
  <c r="J104" i="45"/>
  <c r="J103" i="45"/>
  <c r="J102" i="45"/>
  <c r="J101" i="45"/>
  <c r="J100" i="45"/>
  <c r="J97" i="45"/>
  <c r="J96" i="45"/>
  <c r="J95" i="45"/>
  <c r="J94" i="45"/>
  <c r="J93" i="45"/>
  <c r="J92" i="45"/>
  <c r="J91" i="45"/>
  <c r="J105" i="45" s="1"/>
  <c r="J83" i="45"/>
  <c r="J82" i="45"/>
  <c r="J81" i="45"/>
  <c r="J80" i="45"/>
  <c r="J79" i="45"/>
  <c r="J78" i="45"/>
  <c r="J73" i="45"/>
  <c r="F62" i="45"/>
  <c r="AC39" i="45" s="1"/>
  <c r="AB32" i="45"/>
  <c r="AB31" i="45"/>
  <c r="AB30" i="45"/>
  <c r="AB29" i="45"/>
  <c r="AB28" i="45"/>
  <c r="AB27" i="45"/>
  <c r="AB26" i="45"/>
  <c r="O19" i="45"/>
  <c r="J178" i="21"/>
  <c r="J190" i="23"/>
  <c r="AC59" i="4" l="1"/>
  <c r="AC23" i="4"/>
  <c r="AC80" i="4"/>
  <c r="AC69" i="4"/>
  <c r="AC50" i="4"/>
  <c r="AC35" i="4"/>
  <c r="AC45" i="4"/>
  <c r="AC72" i="4"/>
  <c r="AC15" i="4"/>
  <c r="AC24" i="4"/>
  <c r="AC71" i="4"/>
  <c r="AC34" i="4"/>
  <c r="AC70" i="4"/>
  <c r="AC60" i="4"/>
  <c r="AC33" i="4"/>
  <c r="AC16" i="4"/>
  <c r="AC58" i="4"/>
  <c r="AC32" i="4"/>
  <c r="AC79" i="4"/>
  <c r="AC14" i="4"/>
  <c r="AC49" i="4"/>
  <c r="AC57" i="4"/>
  <c r="AC31" i="4"/>
  <c r="AC75" i="4"/>
  <c r="AC22" i="4"/>
  <c r="AC21" i="4"/>
  <c r="AC74" i="4"/>
  <c r="AC73" i="4"/>
  <c r="AC48" i="4"/>
  <c r="AC47" i="4"/>
  <c r="AC46" i="4"/>
  <c r="AC17" i="4"/>
  <c r="AI60" i="4"/>
  <c r="AI35" i="4"/>
  <c r="AH60" i="4"/>
  <c r="AH35" i="4"/>
  <c r="AG60" i="4"/>
  <c r="AG35" i="4"/>
  <c r="AF60" i="4"/>
  <c r="AF35" i="4"/>
  <c r="AE60" i="4"/>
  <c r="AE35" i="4"/>
  <c r="AD60" i="4"/>
  <c r="AD35" i="4"/>
  <c r="W59" i="4"/>
  <c r="W34" i="4"/>
  <c r="V59" i="4"/>
  <c r="V35" i="4"/>
  <c r="U60" i="4"/>
  <c r="U35" i="4"/>
  <c r="T60" i="4"/>
  <c r="T35" i="4"/>
  <c r="S60" i="4"/>
  <c r="S35" i="4"/>
  <c r="R60" i="4"/>
  <c r="R35" i="4"/>
  <c r="Q60" i="4"/>
  <c r="Q35" i="4"/>
  <c r="P60" i="4"/>
  <c r="P35" i="4"/>
  <c r="O60" i="4"/>
  <c r="O35" i="4"/>
  <c r="N60" i="4"/>
  <c r="N35" i="4"/>
  <c r="M60" i="4"/>
  <c r="M35" i="4"/>
  <c r="L60" i="4"/>
  <c r="L35" i="4"/>
  <c r="AH16" i="4"/>
  <c r="R16" i="4"/>
  <c r="W73" i="4"/>
  <c r="W21" i="4"/>
  <c r="V75" i="4"/>
  <c r="V57" i="4"/>
  <c r="U73" i="4"/>
  <c r="T88" i="4"/>
  <c r="T71" i="4"/>
  <c r="S80" i="4"/>
  <c r="S69" i="4"/>
  <c r="R75" i="4"/>
  <c r="R57" i="4"/>
  <c r="Q73" i="4"/>
  <c r="P88" i="4"/>
  <c r="P71" i="4"/>
  <c r="AI59" i="4"/>
  <c r="AI34" i="4"/>
  <c r="AH59" i="4"/>
  <c r="AH34" i="4"/>
  <c r="AG59" i="4"/>
  <c r="AG34" i="4"/>
  <c r="AF59" i="4"/>
  <c r="AF34" i="4"/>
  <c r="AE59" i="4"/>
  <c r="AE34" i="4"/>
  <c r="AD59" i="4"/>
  <c r="AD34" i="4"/>
  <c r="W50" i="4"/>
  <c r="W33" i="4"/>
  <c r="V50" i="4"/>
  <c r="V34" i="4"/>
  <c r="U59" i="4"/>
  <c r="U34" i="4"/>
  <c r="T59" i="4"/>
  <c r="T34" i="4"/>
  <c r="S59" i="4"/>
  <c r="S34" i="4"/>
  <c r="R59" i="4"/>
  <c r="R34" i="4"/>
  <c r="Q59" i="4"/>
  <c r="AI50" i="4"/>
  <c r="AI33" i="4"/>
  <c r="AH50" i="4"/>
  <c r="AH33" i="4"/>
  <c r="AG50" i="4"/>
  <c r="AG33" i="4"/>
  <c r="AF50" i="4"/>
  <c r="AF33" i="4"/>
  <c r="AE50" i="4"/>
  <c r="AE33" i="4"/>
  <c r="AI47" i="4"/>
  <c r="AH49" i="4"/>
  <c r="AH23" i="4"/>
  <c r="AG31" i="4"/>
  <c r="AF45" i="4"/>
  <c r="AE47" i="4"/>
  <c r="AD50" i="4"/>
  <c r="AD31" i="4"/>
  <c r="W45" i="4"/>
  <c r="V49" i="4"/>
  <c r="V31" i="4"/>
  <c r="U46" i="4"/>
  <c r="T50" i="4"/>
  <c r="T31" i="4"/>
  <c r="S46" i="4"/>
  <c r="R50" i="4"/>
  <c r="R31" i="4"/>
  <c r="Q46" i="4"/>
  <c r="P93" i="4"/>
  <c r="P34" i="4"/>
  <c r="O50" i="4"/>
  <c r="O32" i="4"/>
  <c r="N48" i="4"/>
  <c r="N24" i="4"/>
  <c r="M46" i="4"/>
  <c r="L93" i="4"/>
  <c r="L34" i="4"/>
  <c r="AF16" i="4"/>
  <c r="W16" i="4"/>
  <c r="M16" i="4"/>
  <c r="W74" i="4"/>
  <c r="W17" i="4"/>
  <c r="V73" i="4"/>
  <c r="U87" i="4"/>
  <c r="U69" i="4"/>
  <c r="T74" i="4"/>
  <c r="S88" i="4"/>
  <c r="S70" i="4"/>
  <c r="R74" i="4"/>
  <c r="Q88" i="4"/>
  <c r="Q70" i="4"/>
  <c r="P75" i="4"/>
  <c r="O89" i="4"/>
  <c r="O72" i="4"/>
  <c r="N87" i="4"/>
  <c r="N70" i="4"/>
  <c r="L79" i="4"/>
  <c r="L22" i="4"/>
  <c r="N17" i="4"/>
  <c r="V15" i="4"/>
  <c r="T15" i="4"/>
  <c r="R15" i="4"/>
  <c r="R14" i="4"/>
  <c r="P21" i="4"/>
  <c r="AI46" i="4"/>
  <c r="AH48" i="4"/>
  <c r="AG93" i="4"/>
  <c r="AG24" i="4"/>
  <c r="AF32" i="4"/>
  <c r="AE46" i="4"/>
  <c r="AD49" i="4"/>
  <c r="AD24" i="4"/>
  <c r="W35" i="4"/>
  <c r="V48" i="4"/>
  <c r="V24" i="4"/>
  <c r="U45" i="4"/>
  <c r="T49" i="4"/>
  <c r="T24" i="4"/>
  <c r="S45" i="4"/>
  <c r="R49" i="4"/>
  <c r="R24" i="4"/>
  <c r="Q45" i="4"/>
  <c r="P59" i="4"/>
  <c r="P33" i="4"/>
  <c r="O49" i="4"/>
  <c r="O31" i="4"/>
  <c r="N47" i="4"/>
  <c r="N23" i="4"/>
  <c r="M45" i="4"/>
  <c r="L59" i="4"/>
  <c r="L33" i="4"/>
  <c r="AE16" i="4"/>
  <c r="V16" i="4"/>
  <c r="L14" i="4"/>
  <c r="W72" i="4"/>
  <c r="W15" i="4"/>
  <c r="V72" i="4"/>
  <c r="U80" i="4"/>
  <c r="U58" i="4"/>
  <c r="T73" i="4"/>
  <c r="S87" i="4"/>
  <c r="S57" i="4"/>
  <c r="R73" i="4"/>
  <c r="Q87" i="4"/>
  <c r="Q69" i="4"/>
  <c r="P74" i="4"/>
  <c r="O88" i="4"/>
  <c r="O71" i="4"/>
  <c r="N80" i="4"/>
  <c r="N69" i="4"/>
  <c r="L75" i="4"/>
  <c r="L21" i="4"/>
  <c r="O22" i="4"/>
  <c r="U22" i="4"/>
  <c r="S22" i="4"/>
  <c r="Q22" i="4"/>
  <c r="Q14" i="4"/>
  <c r="P22" i="4"/>
  <c r="AI45" i="4"/>
  <c r="AH47" i="4"/>
  <c r="AG49" i="4"/>
  <c r="AG23" i="4"/>
  <c r="AF31" i="4"/>
  <c r="AE45" i="4"/>
  <c r="AD48" i="4"/>
  <c r="AD23" i="4"/>
  <c r="W93" i="4"/>
  <c r="W32" i="4"/>
  <c r="V47" i="4"/>
  <c r="V23" i="4"/>
  <c r="U33" i="4"/>
  <c r="T48" i="4"/>
  <c r="T23" i="4"/>
  <c r="S33" i="4"/>
  <c r="R48" i="4"/>
  <c r="R23" i="4"/>
  <c r="Q34" i="4"/>
  <c r="P50" i="4"/>
  <c r="P32" i="4"/>
  <c r="O48" i="4"/>
  <c r="O24" i="4"/>
  <c r="N46" i="4"/>
  <c r="M93" i="4"/>
  <c r="M34" i="4"/>
  <c r="L50" i="4"/>
  <c r="L32" i="4"/>
  <c r="AD16" i="4"/>
  <c r="U16" i="4"/>
  <c r="L16" i="4"/>
  <c r="W89" i="4"/>
  <c r="W71" i="4"/>
  <c r="V89" i="4"/>
  <c r="V71" i="4"/>
  <c r="U79" i="4"/>
  <c r="U57" i="4"/>
  <c r="T72" i="4"/>
  <c r="S79" i="4"/>
  <c r="S58" i="4"/>
  <c r="R72" i="4"/>
  <c r="Q80" i="4"/>
  <c r="Q58" i="4"/>
  <c r="P73" i="4"/>
  <c r="O87" i="4"/>
  <c r="O70" i="4"/>
  <c r="N79" i="4"/>
  <c r="L74" i="4"/>
  <c r="L17" i="4"/>
  <c r="O21" i="4"/>
  <c r="U21" i="4"/>
  <c r="S21" i="4"/>
  <c r="Q21" i="4"/>
  <c r="O14" i="4"/>
  <c r="O69" i="4"/>
  <c r="N57" i="4"/>
  <c r="AI32" i="4"/>
  <c r="AH46" i="4"/>
  <c r="AG48" i="4"/>
  <c r="AF93" i="4"/>
  <c r="AF24" i="4"/>
  <c r="AE32" i="4"/>
  <c r="AD47" i="4"/>
  <c r="W60" i="4"/>
  <c r="W31" i="4"/>
  <c r="V46" i="4"/>
  <c r="U93" i="4"/>
  <c r="U32" i="4"/>
  <c r="T47" i="4"/>
  <c r="S93" i="4"/>
  <c r="S32" i="4"/>
  <c r="R47" i="4"/>
  <c r="Q93" i="4"/>
  <c r="Q33" i="4"/>
  <c r="P49" i="4"/>
  <c r="P31" i="4"/>
  <c r="O47" i="4"/>
  <c r="O23" i="4"/>
  <c r="N45" i="4"/>
  <c r="M59" i="4"/>
  <c r="M33" i="4"/>
  <c r="L49" i="4"/>
  <c r="L31" i="4"/>
  <c r="T16" i="4"/>
  <c r="L15" i="4"/>
  <c r="W88" i="4"/>
  <c r="W70" i="4"/>
  <c r="V88" i="4"/>
  <c r="V70" i="4"/>
  <c r="U75" i="4"/>
  <c r="T89" i="4"/>
  <c r="T70" i="4"/>
  <c r="S75" i="4"/>
  <c r="R89" i="4"/>
  <c r="R71" i="4"/>
  <c r="Q79" i="4"/>
  <c r="Q57" i="4"/>
  <c r="P72" i="4"/>
  <c r="O80" i="4"/>
  <c r="N75" i="4"/>
  <c r="L73" i="4"/>
  <c r="AI31" i="4"/>
  <c r="AG47" i="4"/>
  <c r="AF23" i="4"/>
  <c r="AD46" i="4"/>
  <c r="W49" i="4"/>
  <c r="V45" i="4"/>
  <c r="U31" i="4"/>
  <c r="S50" i="4"/>
  <c r="R46" i="4"/>
  <c r="Q32" i="4"/>
  <c r="P24" i="4"/>
  <c r="N93" i="4"/>
  <c r="M50" i="4"/>
  <c r="L48" i="4"/>
  <c r="W69" i="4"/>
  <c r="V69" i="4"/>
  <c r="T87" i="4"/>
  <c r="S74" i="4"/>
  <c r="R70" i="4"/>
  <c r="P89" i="4"/>
  <c r="O79" i="4"/>
  <c r="N74" i="4"/>
  <c r="L72" i="4"/>
  <c r="N21" i="4"/>
  <c r="T17" i="4"/>
  <c r="P14" i="4"/>
  <c r="L45" i="4"/>
  <c r="S71" i="4"/>
  <c r="N71" i="4"/>
  <c r="W14" i="4"/>
  <c r="P15" i="4"/>
  <c r="AE31" i="4"/>
  <c r="W24" i="4"/>
  <c r="T46" i="4"/>
  <c r="P48" i="4"/>
  <c r="M32" i="4"/>
  <c r="W87" i="4"/>
  <c r="U74" i="4"/>
  <c r="Q75" i="4"/>
  <c r="L89" i="4"/>
  <c r="V14" i="4"/>
  <c r="M31" i="4"/>
  <c r="W80" i="4"/>
  <c r="T58" i="4"/>
  <c r="O57" i="4"/>
  <c r="U15" i="4"/>
  <c r="P58" i="4"/>
  <c r="T14" i="4"/>
  <c r="AI24" i="4"/>
  <c r="AG46" i="4"/>
  <c r="AE93" i="4"/>
  <c r="AD45" i="4"/>
  <c r="W48" i="4"/>
  <c r="V36" i="4"/>
  <c r="U24" i="4"/>
  <c r="S49" i="4"/>
  <c r="R45" i="4"/>
  <c r="Q31" i="4"/>
  <c r="P23" i="4"/>
  <c r="N59" i="4"/>
  <c r="M49" i="4"/>
  <c r="L47" i="4"/>
  <c r="W58" i="4"/>
  <c r="V58" i="4"/>
  <c r="T80" i="4"/>
  <c r="S73" i="4"/>
  <c r="R69" i="4"/>
  <c r="P87" i="4"/>
  <c r="O75" i="4"/>
  <c r="N73" i="4"/>
  <c r="L71" i="4"/>
  <c r="V22" i="4"/>
  <c r="S17" i="4"/>
  <c r="N15" i="4"/>
  <c r="AG32" i="4"/>
  <c r="AD32" i="4"/>
  <c r="V32" i="4"/>
  <c r="S47" i="4"/>
  <c r="Q23" i="4"/>
  <c r="N49" i="4"/>
  <c r="U88" i="4"/>
  <c r="Q89" i="4"/>
  <c r="O73" i="4"/>
  <c r="R22" i="4"/>
  <c r="AF49" i="4"/>
  <c r="S31" i="4"/>
  <c r="O46" i="4"/>
  <c r="L24" i="4"/>
  <c r="V87" i="4"/>
  <c r="R88" i="4"/>
  <c r="O58" i="4"/>
  <c r="R21" i="4"/>
  <c r="R87" i="4"/>
  <c r="O16" i="4"/>
  <c r="W79" i="4"/>
  <c r="V79" i="4"/>
  <c r="N89" i="4"/>
  <c r="T22" i="4"/>
  <c r="AI23" i="4"/>
  <c r="AG45" i="4"/>
  <c r="AE49" i="4"/>
  <c r="AD33" i="4"/>
  <c r="W47" i="4"/>
  <c r="V33" i="4"/>
  <c r="U23" i="4"/>
  <c r="S48" i="4"/>
  <c r="R33" i="4"/>
  <c r="Q24" i="4"/>
  <c r="O93" i="4"/>
  <c r="N50" i="4"/>
  <c r="M48" i="4"/>
  <c r="L46" i="4"/>
  <c r="W57" i="4"/>
  <c r="U89" i="4"/>
  <c r="T79" i="4"/>
  <c r="S72" i="4"/>
  <c r="R58" i="4"/>
  <c r="P80" i="4"/>
  <c r="O74" i="4"/>
  <c r="N72" i="4"/>
  <c r="L70" i="4"/>
  <c r="O15" i="4"/>
  <c r="V21" i="4"/>
  <c r="S15" i="4"/>
  <c r="P16" i="4"/>
  <c r="AH93" i="4"/>
  <c r="AE48" i="4"/>
  <c r="W46" i="4"/>
  <c r="T93" i="4"/>
  <c r="R32" i="4"/>
  <c r="O59" i="4"/>
  <c r="M47" i="4"/>
  <c r="W22" i="4"/>
  <c r="T75" i="4"/>
  <c r="P79" i="4"/>
  <c r="L69" i="4"/>
  <c r="V17" i="4"/>
  <c r="AH45" i="4"/>
  <c r="U50" i="4"/>
  <c r="Q50" i="4"/>
  <c r="N34" i="4"/>
  <c r="S16" i="4"/>
  <c r="T69" i="4"/>
  <c r="P70" i="4"/>
  <c r="N14" i="4"/>
  <c r="U17" i="4"/>
  <c r="N33" i="4"/>
  <c r="L23" i="4"/>
  <c r="U72" i="4"/>
  <c r="P69" i="4"/>
  <c r="U14" i="4"/>
  <c r="AI16" i="4"/>
  <c r="U71" i="4"/>
  <c r="L57" i="4"/>
  <c r="Q72" i="4"/>
  <c r="AH32" i="4"/>
  <c r="AF48" i="4"/>
  <c r="AE24" i="4"/>
  <c r="W23" i="4"/>
  <c r="U49" i="4"/>
  <c r="T45" i="4"/>
  <c r="S24" i="4"/>
  <c r="Q49" i="4"/>
  <c r="P47" i="4"/>
  <c r="Q16" i="4"/>
  <c r="L88" i="4"/>
  <c r="T57" i="4"/>
  <c r="AI49" i="4"/>
  <c r="AH31" i="4"/>
  <c r="AF47" i="4"/>
  <c r="AE23" i="4"/>
  <c r="V93" i="4"/>
  <c r="U48" i="4"/>
  <c r="T33" i="4"/>
  <c r="S23" i="4"/>
  <c r="Q48" i="4"/>
  <c r="P46" i="4"/>
  <c r="O34" i="4"/>
  <c r="N32" i="4"/>
  <c r="M24" i="4"/>
  <c r="R80" i="4"/>
  <c r="AI48" i="4"/>
  <c r="AH24" i="4"/>
  <c r="AF46" i="4"/>
  <c r="AD93" i="4"/>
  <c r="V60" i="4"/>
  <c r="U47" i="4"/>
  <c r="T32" i="4"/>
  <c r="R93" i="4"/>
  <c r="Q47" i="4"/>
  <c r="P45" i="4"/>
  <c r="O33" i="4"/>
  <c r="N31" i="4"/>
  <c r="M23" i="4"/>
  <c r="AG16" i="4"/>
  <c r="N16" i="4"/>
  <c r="W75" i="4"/>
  <c r="V74" i="4"/>
  <c r="U70" i="4"/>
  <c r="S89" i="4"/>
  <c r="R79" i="4"/>
  <c r="Q71" i="4"/>
  <c r="P57" i="4"/>
  <c r="N88" i="4"/>
  <c r="L80" i="4"/>
  <c r="N22" i="4"/>
  <c r="T21" i="4"/>
  <c r="Q15" i="4"/>
  <c r="S14" i="4"/>
  <c r="O45" i="4"/>
  <c r="V80" i="4"/>
  <c r="Q74" i="4"/>
  <c r="R17" i="4"/>
  <c r="L87" i="4"/>
  <c r="X59" i="4"/>
  <c r="X34" i="4"/>
  <c r="X75" i="4"/>
  <c r="X57" i="4"/>
  <c r="X50" i="4"/>
  <c r="X33" i="4"/>
  <c r="X49" i="4"/>
  <c r="X24" i="4"/>
  <c r="X87" i="4"/>
  <c r="X69" i="4"/>
  <c r="X48" i="4"/>
  <c r="X23" i="4"/>
  <c r="X80" i="4"/>
  <c r="X58" i="4"/>
  <c r="X22" i="4"/>
  <c r="X47" i="4"/>
  <c r="X79" i="4"/>
  <c r="X21" i="4"/>
  <c r="X14" i="4"/>
  <c r="X46" i="4"/>
  <c r="X74" i="4"/>
  <c r="X73" i="4"/>
  <c r="X15" i="4"/>
  <c r="X72" i="4"/>
  <c r="X60" i="4"/>
  <c r="X16" i="4"/>
  <c r="X70" i="4"/>
  <c r="X93" i="4"/>
  <c r="X71" i="4"/>
  <c r="X45" i="4"/>
  <c r="X89" i="4"/>
  <c r="X35" i="4"/>
  <c r="X32" i="4"/>
  <c r="X31" i="4"/>
  <c r="X88" i="4"/>
  <c r="X17" i="4"/>
  <c r="Y59" i="4"/>
  <c r="Y34" i="4"/>
  <c r="Y80" i="4"/>
  <c r="Y69" i="4"/>
  <c r="Y50" i="4"/>
  <c r="Y33" i="4"/>
  <c r="Y45" i="4"/>
  <c r="Y73" i="4"/>
  <c r="Y15" i="4"/>
  <c r="Y35" i="4"/>
  <c r="Y72" i="4"/>
  <c r="Y14" i="4"/>
  <c r="Y93" i="4"/>
  <c r="Y32" i="4"/>
  <c r="Y89" i="4"/>
  <c r="Y71" i="4"/>
  <c r="Y60" i="4"/>
  <c r="Y31" i="4"/>
  <c r="Y88" i="4"/>
  <c r="Y70" i="4"/>
  <c r="Y24" i="4"/>
  <c r="Y87" i="4"/>
  <c r="Y49" i="4"/>
  <c r="Y22" i="4"/>
  <c r="Y23" i="4"/>
  <c r="Y79" i="4"/>
  <c r="Y58" i="4"/>
  <c r="Y16" i="4"/>
  <c r="Y75" i="4"/>
  <c r="Y74" i="4"/>
  <c r="Y57" i="4"/>
  <c r="Y21" i="4"/>
  <c r="Y17" i="4"/>
  <c r="Y48" i="4"/>
  <c r="Y47" i="4"/>
  <c r="Y46" i="4"/>
  <c r="Z59" i="4"/>
  <c r="Z34" i="4"/>
  <c r="Z16" i="4"/>
  <c r="Z88" i="4"/>
  <c r="Z71" i="4"/>
  <c r="Z50" i="4"/>
  <c r="Z33" i="4"/>
  <c r="Z49" i="4"/>
  <c r="Z24" i="4"/>
  <c r="Z80" i="4"/>
  <c r="Z58" i="4"/>
  <c r="Z14" i="4"/>
  <c r="Z48" i="4"/>
  <c r="Z23" i="4"/>
  <c r="Z79" i="4"/>
  <c r="Z57" i="4"/>
  <c r="Z22" i="4"/>
  <c r="Z47" i="4"/>
  <c r="Z75" i="4"/>
  <c r="Z21" i="4"/>
  <c r="Z46" i="4"/>
  <c r="Z74" i="4"/>
  <c r="Z45" i="4"/>
  <c r="Z15" i="4"/>
  <c r="Z35" i="4"/>
  <c r="Z87" i="4"/>
  <c r="Z72" i="4"/>
  <c r="Z32" i="4"/>
  <c r="Z89" i="4"/>
  <c r="Z17" i="4"/>
  <c r="Z31" i="4"/>
  <c r="Z73" i="4"/>
  <c r="Z93" i="4"/>
  <c r="Z70" i="4"/>
  <c r="Z60" i="4"/>
  <c r="Z69" i="4"/>
  <c r="AA59" i="4"/>
  <c r="AA34" i="4"/>
  <c r="AA73" i="4"/>
  <c r="AA50" i="4"/>
  <c r="AA33" i="4"/>
  <c r="AA45" i="4"/>
  <c r="AA72" i="4"/>
  <c r="AA15" i="4"/>
  <c r="AA35" i="4"/>
  <c r="AA89" i="4"/>
  <c r="AA71" i="4"/>
  <c r="AA93" i="4"/>
  <c r="AA32" i="4"/>
  <c r="AA88" i="4"/>
  <c r="AA70" i="4"/>
  <c r="AA60" i="4"/>
  <c r="AA31" i="4"/>
  <c r="AA87" i="4"/>
  <c r="AA69" i="4"/>
  <c r="AA49" i="4"/>
  <c r="AA58" i="4"/>
  <c r="AA21" i="4"/>
  <c r="AA24" i="4"/>
  <c r="AA48" i="4"/>
  <c r="AA16" i="4"/>
  <c r="AA57" i="4"/>
  <c r="AA17" i="4"/>
  <c r="AA46" i="4"/>
  <c r="AA80" i="4"/>
  <c r="AA47" i="4"/>
  <c r="AA14" i="4"/>
  <c r="AA75" i="4"/>
  <c r="AA23" i="4"/>
  <c r="AA74" i="4"/>
  <c r="AA22" i="4"/>
  <c r="AA79" i="4"/>
  <c r="F38" i="22"/>
  <c r="AB59" i="4"/>
  <c r="AB34" i="4"/>
  <c r="AB75" i="4"/>
  <c r="AB57" i="4"/>
  <c r="AB50" i="4"/>
  <c r="AB33" i="4"/>
  <c r="AB49" i="4"/>
  <c r="AB24" i="4"/>
  <c r="AB80" i="4"/>
  <c r="AB58" i="4"/>
  <c r="AB48" i="4"/>
  <c r="AB23" i="4"/>
  <c r="AB79" i="4"/>
  <c r="AB22" i="4"/>
  <c r="AB47" i="4"/>
  <c r="AB74" i="4"/>
  <c r="AB21" i="4"/>
  <c r="AB46" i="4"/>
  <c r="AB73" i="4"/>
  <c r="AB17" i="4"/>
  <c r="AB16" i="4"/>
  <c r="AB72" i="4"/>
  <c r="AB45" i="4"/>
  <c r="AB71" i="4"/>
  <c r="AB14" i="4"/>
  <c r="AB15" i="4"/>
  <c r="AB93" i="4"/>
  <c r="AB70" i="4"/>
  <c r="AB60" i="4"/>
  <c r="AB89" i="4"/>
  <c r="AB69" i="4"/>
  <c r="AB35" i="4"/>
  <c r="AB32" i="4"/>
  <c r="AB88" i="4"/>
  <c r="AB31" i="4"/>
  <c r="AB87" i="4"/>
  <c r="F10" i="22"/>
  <c r="F27" i="22"/>
  <c r="J27" i="22" s="1"/>
  <c r="F24" i="30"/>
  <c r="F10" i="23"/>
  <c r="F20" i="30"/>
  <c r="F242" i="22"/>
  <c r="J242" i="22" s="1"/>
  <c r="J245" i="22" s="1"/>
  <c r="F29" i="22" s="1"/>
  <c r="H29" i="22" s="1"/>
  <c r="G34" i="27"/>
  <c r="F237" i="26" s="1"/>
  <c r="J237" i="26" s="1"/>
  <c r="J241" i="26" s="1"/>
  <c r="F28" i="26" s="1"/>
  <c r="H28" i="26" s="1"/>
  <c r="F290" i="25"/>
  <c r="J290" i="25" s="1"/>
  <c r="AL19" i="4"/>
  <c r="H9" i="25"/>
  <c r="F9" i="25" s="1"/>
  <c r="AC93" i="4"/>
  <c r="F231" i="21"/>
  <c r="J266" i="21"/>
  <c r="AI93" i="4"/>
  <c r="J53" i="41" s="1"/>
  <c r="F53" i="41" s="1"/>
  <c r="F130" i="23"/>
  <c r="J180" i="23"/>
  <c r="L190" i="23" s="1"/>
  <c r="F24" i="23" s="1"/>
  <c r="J171" i="24"/>
  <c r="L182" i="24" s="1"/>
  <c r="F23" i="24" s="1"/>
  <c r="H23" i="24" s="1"/>
  <c r="F10" i="25"/>
  <c r="F243" i="20"/>
  <c r="F10" i="21"/>
  <c r="AC29" i="41"/>
  <c r="F325" i="22"/>
  <c r="H21" i="45"/>
  <c r="H17" i="45"/>
  <c r="J23" i="45"/>
  <c r="H20" i="45"/>
  <c r="H22" i="45"/>
  <c r="H23" i="45"/>
  <c r="H62" i="44"/>
  <c r="H62" i="45"/>
  <c r="H62" i="43"/>
  <c r="H62" i="42"/>
  <c r="H62" i="41"/>
  <c r="J371" i="22"/>
  <c r="H9" i="22"/>
  <c r="F9" i="22" s="1"/>
  <c r="F323" i="22"/>
  <c r="J323" i="22" s="1"/>
  <c r="F231" i="22"/>
  <c r="J231" i="22" s="1"/>
  <c r="H27" i="22"/>
  <c r="F232" i="22"/>
  <c r="J232" i="22" s="1"/>
  <c r="F326" i="22"/>
  <c r="F229" i="22"/>
  <c r="J229" i="22" s="1"/>
  <c r="F336" i="22"/>
  <c r="F21" i="30"/>
  <c r="F311" i="25"/>
  <c r="F24" i="25"/>
  <c r="F35" i="25"/>
  <c r="F23" i="30"/>
  <c r="F303" i="25"/>
  <c r="F16" i="24"/>
  <c r="H16" i="24" s="1"/>
  <c r="F21" i="24"/>
  <c r="H21" i="24" s="1"/>
  <c r="F15" i="24"/>
  <c r="F22" i="30"/>
  <c r="F18" i="24"/>
  <c r="H18" i="24" s="1"/>
  <c r="F17" i="24"/>
  <c r="H17" i="24" s="1"/>
  <c r="F19" i="30"/>
  <c r="F25" i="30"/>
  <c r="F38" i="26"/>
  <c r="F27" i="26"/>
  <c r="F247" i="26"/>
  <c r="J247" i="26" s="1"/>
  <c r="J250" i="26" s="1"/>
  <c r="F29" i="26" s="1"/>
  <c r="J387" i="26"/>
  <c r="F133" i="24"/>
  <c r="J29" i="22"/>
  <c r="AC29" i="45"/>
  <c r="J18" i="45"/>
  <c r="AC31" i="45"/>
  <c r="J113" i="41"/>
  <c r="F62" i="41"/>
  <c r="J83" i="41"/>
  <c r="J102" i="41"/>
  <c r="J18" i="30"/>
  <c r="AC27" i="42"/>
  <c r="J123" i="42"/>
  <c r="F62" i="42"/>
  <c r="J83" i="42"/>
  <c r="J102" i="42"/>
  <c r="J62" i="43"/>
  <c r="J102" i="43"/>
  <c r="J131" i="43"/>
  <c r="AC25" i="43"/>
  <c r="J123" i="43"/>
  <c r="J16" i="30"/>
  <c r="H101" i="30"/>
  <c r="AC27" i="43"/>
  <c r="J105" i="44"/>
  <c r="J134" i="44"/>
  <c r="H100" i="30"/>
  <c r="AC26" i="45"/>
  <c r="J84" i="45"/>
  <c r="J21" i="45"/>
  <c r="H99" i="30"/>
  <c r="J15" i="30"/>
  <c r="J17" i="30"/>
  <c r="J14" i="30"/>
  <c r="F137" i="41"/>
  <c r="J137" i="41" s="1"/>
  <c r="D138" i="41"/>
  <c r="J143" i="41"/>
  <c r="H169" i="41"/>
  <c r="AC32" i="41"/>
  <c r="AC25" i="41"/>
  <c r="J114" i="41"/>
  <c r="J115" i="42"/>
  <c r="F19" i="42" s="1"/>
  <c r="F137" i="42"/>
  <c r="J137" i="42" s="1"/>
  <c r="J143" i="42" s="1"/>
  <c r="D138" i="42"/>
  <c r="AC32" i="42"/>
  <c r="H169" i="42"/>
  <c r="J115" i="43"/>
  <c r="F19" i="43" s="1"/>
  <c r="H19" i="43" s="1"/>
  <c r="F137" i="43"/>
  <c r="J137" i="43" s="1"/>
  <c r="J143" i="43" s="1"/>
  <c r="D138" i="43"/>
  <c r="AC32" i="43"/>
  <c r="H169" i="43"/>
  <c r="J118" i="44"/>
  <c r="F19" i="44" s="1"/>
  <c r="F24" i="44" s="1"/>
  <c r="H46" i="30" s="1"/>
  <c r="AC27" i="45"/>
  <c r="J118" i="45"/>
  <c r="F19" i="45" s="1"/>
  <c r="F24" i="45" s="1"/>
  <c r="H45" i="30" s="1"/>
  <c r="AC30" i="44"/>
  <c r="AC25" i="44"/>
  <c r="F140" i="44"/>
  <c r="J140" i="44" s="1"/>
  <c r="J146" i="44" s="1"/>
  <c r="J62" i="44"/>
  <c r="J9" i="45"/>
  <c r="AC25" i="45"/>
  <c r="F140" i="45"/>
  <c r="J140" i="45" s="1"/>
  <c r="J146" i="45" s="1"/>
  <c r="J60" i="45"/>
  <c r="J62" i="45" s="1"/>
  <c r="AB23" i="28"/>
  <c r="AJ42" i="4"/>
  <c r="AJ43" i="4"/>
  <c r="AJ44" i="4"/>
  <c r="AJ41" i="4"/>
  <c r="I42" i="4"/>
  <c r="E42" i="4"/>
  <c r="I57" i="4"/>
  <c r="E57" i="4"/>
  <c r="I41" i="4"/>
  <c r="I43" i="4"/>
  <c r="I44" i="4"/>
  <c r="E43" i="4"/>
  <c r="E44" i="4"/>
  <c r="E41" i="4"/>
  <c r="I58" i="4"/>
  <c r="J58" i="4"/>
  <c r="E58" i="4"/>
  <c r="I23" i="4"/>
  <c r="E23" i="4"/>
  <c r="B23" i="4"/>
  <c r="F60" i="30"/>
  <c r="F87" i="30" s="1"/>
  <c r="F29" i="30"/>
  <c r="F58" i="36"/>
  <c r="F58" i="39"/>
  <c r="H58" i="39" s="1"/>
  <c r="F21" i="39"/>
  <c r="H21" i="39" s="1"/>
  <c r="F18" i="39"/>
  <c r="J18" i="39" s="1"/>
  <c r="F17" i="39"/>
  <c r="J17" i="39" s="1"/>
  <c r="F16" i="39"/>
  <c r="H16" i="39" s="1"/>
  <c r="H9" i="39"/>
  <c r="F9" i="39" s="1"/>
  <c r="J9" i="39" s="1"/>
  <c r="J134" i="39"/>
  <c r="L134" i="39" s="1"/>
  <c r="F134" i="39"/>
  <c r="L133" i="39"/>
  <c r="H133" i="39"/>
  <c r="L132" i="39"/>
  <c r="H132" i="39"/>
  <c r="L131" i="39"/>
  <c r="H131" i="39"/>
  <c r="L130" i="39"/>
  <c r="H130" i="39"/>
  <c r="L129" i="39"/>
  <c r="H129" i="39"/>
  <c r="L128" i="39"/>
  <c r="H128" i="39"/>
  <c r="J117" i="39"/>
  <c r="J116" i="39"/>
  <c r="J115" i="39"/>
  <c r="J114" i="39"/>
  <c r="J113" i="39"/>
  <c r="J111" i="39"/>
  <c r="J105" i="39"/>
  <c r="J104" i="39"/>
  <c r="H103" i="39"/>
  <c r="J103" i="39" s="1"/>
  <c r="J102" i="39"/>
  <c r="J96" i="39"/>
  <c r="J95" i="39"/>
  <c r="J94" i="39"/>
  <c r="J91" i="39"/>
  <c r="J90" i="39"/>
  <c r="J89" i="39"/>
  <c r="J88" i="39"/>
  <c r="J87" i="39"/>
  <c r="J97" i="39" s="1"/>
  <c r="J78" i="39"/>
  <c r="J79" i="39" s="1"/>
  <c r="J77" i="39"/>
  <c r="J72" i="39"/>
  <c r="J71" i="39"/>
  <c r="F44" i="30"/>
  <c r="F71" i="30" s="1"/>
  <c r="F21" i="38"/>
  <c r="J21" i="38" s="1"/>
  <c r="F20" i="38"/>
  <c r="H20" i="38" s="1"/>
  <c r="F18" i="38"/>
  <c r="J18" i="38" s="1"/>
  <c r="F17" i="38"/>
  <c r="J17" i="38" s="1"/>
  <c r="F16" i="38"/>
  <c r="J16" i="38" s="1"/>
  <c r="F9" i="38"/>
  <c r="H13" i="30" s="1"/>
  <c r="F13" i="30"/>
  <c r="L154" i="38"/>
  <c r="L155" i="38"/>
  <c r="L156" i="38"/>
  <c r="L157" i="38"/>
  <c r="L158" i="38"/>
  <c r="L159" i="38"/>
  <c r="L160" i="38"/>
  <c r="L161" i="38"/>
  <c r="L162" i="38"/>
  <c r="L163" i="38"/>
  <c r="L164" i="38"/>
  <c r="L165" i="38"/>
  <c r="L166" i="38"/>
  <c r="L167" i="38"/>
  <c r="L168" i="38"/>
  <c r="L153" i="38"/>
  <c r="H168" i="38"/>
  <c r="H154" i="38"/>
  <c r="H155" i="38"/>
  <c r="H156" i="38"/>
  <c r="H157" i="38"/>
  <c r="H158" i="38"/>
  <c r="H159" i="38"/>
  <c r="H160" i="38"/>
  <c r="H161" i="38"/>
  <c r="H162" i="38"/>
  <c r="H163" i="38"/>
  <c r="H164" i="38"/>
  <c r="H165" i="38"/>
  <c r="H166" i="38"/>
  <c r="H167" i="38"/>
  <c r="H153" i="38"/>
  <c r="J91" i="38"/>
  <c r="J92" i="38"/>
  <c r="J169" i="38"/>
  <c r="L169" i="38" s="1"/>
  <c r="F23" i="38" s="1"/>
  <c r="J23" i="38" s="1"/>
  <c r="F169" i="38"/>
  <c r="H169" i="38" s="1"/>
  <c r="F60" i="38" s="1"/>
  <c r="H98" i="30" s="1"/>
  <c r="J142" i="38"/>
  <c r="J141" i="38"/>
  <c r="J140" i="38"/>
  <c r="J139" i="38"/>
  <c r="J138" i="38"/>
  <c r="J136" i="38"/>
  <c r="J130" i="38"/>
  <c r="J129" i="38"/>
  <c r="J128" i="38"/>
  <c r="J122" i="38"/>
  <c r="J121" i="38"/>
  <c r="F120" i="38"/>
  <c r="J120" i="38" s="1"/>
  <c r="J110" i="38"/>
  <c r="J109" i="38"/>
  <c r="J108" i="38"/>
  <c r="J107" i="38"/>
  <c r="J101" i="38"/>
  <c r="J100" i="38"/>
  <c r="J99" i="38"/>
  <c r="J98" i="38"/>
  <c r="J97" i="38"/>
  <c r="J94" i="38"/>
  <c r="J93" i="38"/>
  <c r="J90" i="38"/>
  <c r="J89" i="38"/>
  <c r="J81" i="38"/>
  <c r="J80" i="38"/>
  <c r="J79" i="38"/>
  <c r="J78" i="38"/>
  <c r="J73" i="38"/>
  <c r="AB32" i="38"/>
  <c r="AB31" i="38"/>
  <c r="AB30" i="38"/>
  <c r="AB29" i="38"/>
  <c r="AB28" i="38"/>
  <c r="AB27" i="38"/>
  <c r="AB26" i="38"/>
  <c r="S18" i="38"/>
  <c r="O19" i="38" s="1"/>
  <c r="L167" i="24"/>
  <c r="L168" i="24"/>
  <c r="H167" i="24"/>
  <c r="H168" i="24"/>
  <c r="H166" i="24"/>
  <c r="L166" i="24"/>
  <c r="J89" i="24"/>
  <c r="J88" i="24"/>
  <c r="J87" i="24"/>
  <c r="J75" i="24"/>
  <c r="J74" i="24"/>
  <c r="J73" i="24"/>
  <c r="J76" i="23"/>
  <c r="J75" i="23"/>
  <c r="J74" i="23"/>
  <c r="L173" i="24"/>
  <c r="L174" i="24"/>
  <c r="L175" i="24"/>
  <c r="L176" i="24"/>
  <c r="L177" i="24"/>
  <c r="L178" i="24"/>
  <c r="L179" i="24"/>
  <c r="L180" i="24"/>
  <c r="L181" i="24"/>
  <c r="L172" i="24"/>
  <c r="L170" i="24"/>
  <c r="L169" i="24"/>
  <c r="H173" i="24"/>
  <c r="H174" i="24"/>
  <c r="H175" i="24"/>
  <c r="H176" i="24"/>
  <c r="H177" i="24"/>
  <c r="H178" i="24"/>
  <c r="H179" i="24"/>
  <c r="H180" i="24"/>
  <c r="H181" i="24"/>
  <c r="H172" i="24"/>
  <c r="H169" i="24"/>
  <c r="H170" i="24" s="1"/>
  <c r="AO75" i="4" l="1"/>
  <c r="BM75" i="4"/>
  <c r="F350" i="26"/>
  <c r="CK23" i="4"/>
  <c r="DI23" i="4"/>
  <c r="CK57" i="4"/>
  <c r="DI57" i="4"/>
  <c r="CK44" i="4"/>
  <c r="DI44" i="4"/>
  <c r="CK42" i="4"/>
  <c r="DI42" i="4"/>
  <c r="DI75" i="4"/>
  <c r="CK75" i="4"/>
  <c r="CK58" i="4"/>
  <c r="DI58" i="4"/>
  <c r="CK43" i="4"/>
  <c r="DI43" i="4"/>
  <c r="CK41" i="4"/>
  <c r="DI41" i="4"/>
  <c r="CQ36" i="4"/>
  <c r="DO36" i="4"/>
  <c r="AJ36" i="4"/>
  <c r="AO58" i="4"/>
  <c r="BM58" i="4"/>
  <c r="BM43" i="4"/>
  <c r="AO42" i="4"/>
  <c r="BM42" i="4"/>
  <c r="AO41" i="4"/>
  <c r="BM41" i="4"/>
  <c r="AO23" i="4"/>
  <c r="BM23" i="4"/>
  <c r="BM44" i="4"/>
  <c r="AO57" i="4"/>
  <c r="BM57" i="4"/>
  <c r="AO43" i="4"/>
  <c r="AO44" i="4"/>
  <c r="F341" i="26"/>
  <c r="F337" i="26"/>
  <c r="J337" i="26" s="1"/>
  <c r="H9" i="26"/>
  <c r="F9" i="26" s="1"/>
  <c r="J9" i="26" s="1"/>
  <c r="F233" i="26"/>
  <c r="J233" i="26" s="1"/>
  <c r="DF19" i="4"/>
  <c r="AJ19" i="4"/>
  <c r="BJ19" i="4"/>
  <c r="CH19" i="4"/>
  <c r="H24" i="23"/>
  <c r="H9" i="23"/>
  <c r="F129" i="23"/>
  <c r="F139" i="23"/>
  <c r="F120" i="24"/>
  <c r="J120" i="24" s="1"/>
  <c r="F123" i="24"/>
  <c r="F122" i="24"/>
  <c r="H9" i="24"/>
  <c r="F221" i="21"/>
  <c r="H9" i="21"/>
  <c r="F220" i="21"/>
  <c r="F218" i="21"/>
  <c r="J218" i="21" s="1"/>
  <c r="H15" i="24"/>
  <c r="Z27" i="24"/>
  <c r="J106" i="39"/>
  <c r="F19" i="39" s="1"/>
  <c r="J19" i="39" s="1"/>
  <c r="F233" i="20"/>
  <c r="F230" i="20"/>
  <c r="J230" i="20" s="1"/>
  <c r="F232" i="20"/>
  <c r="F231" i="20"/>
  <c r="F234" i="20"/>
  <c r="H9" i="20"/>
  <c r="F9" i="20" s="1"/>
  <c r="J9" i="20" s="1"/>
  <c r="J19" i="42"/>
  <c r="AC28" i="42"/>
  <c r="J19" i="43"/>
  <c r="AC28" i="43"/>
  <c r="AJ87" i="4"/>
  <c r="F20" i="42"/>
  <c r="J20" i="42" s="1"/>
  <c r="F20" i="43"/>
  <c r="H20" i="43" s="1"/>
  <c r="AJ16" i="4"/>
  <c r="AJ14" i="4"/>
  <c r="AJ57" i="4"/>
  <c r="BJ42" i="4"/>
  <c r="AL42" i="4"/>
  <c r="CH57" i="4"/>
  <c r="DF57" i="4"/>
  <c r="DF58" i="4"/>
  <c r="CH58" i="4"/>
  <c r="DF43" i="4"/>
  <c r="CH43" i="4"/>
  <c r="DF44" i="4"/>
  <c r="CH44" i="4"/>
  <c r="AL41" i="4"/>
  <c r="BJ41" i="4"/>
  <c r="CH41" i="4"/>
  <c r="DF41" i="4"/>
  <c r="CH42" i="4"/>
  <c r="DF42" i="4"/>
  <c r="BJ44" i="4"/>
  <c r="AL44" i="4"/>
  <c r="BJ57" i="4"/>
  <c r="AL57" i="4"/>
  <c r="BJ58" i="4"/>
  <c r="AL58" i="4"/>
  <c r="BJ43" i="4"/>
  <c r="AL43" i="4"/>
  <c r="CH23" i="4"/>
  <c r="DF23" i="4"/>
  <c r="AL23" i="4"/>
  <c r="BJ23" i="4"/>
  <c r="AC28" i="44"/>
  <c r="J19" i="44"/>
  <c r="J24" i="44" s="1"/>
  <c r="D137" i="38"/>
  <c r="D138" i="38" s="1"/>
  <c r="H24" i="44"/>
  <c r="J19" i="45"/>
  <c r="J24" i="45" s="1"/>
  <c r="AC28" i="45"/>
  <c r="H19" i="45"/>
  <c r="H24" i="45" s="1"/>
  <c r="H24" i="42"/>
  <c r="H24" i="43"/>
  <c r="J237" i="22"/>
  <c r="F28" i="22" s="1"/>
  <c r="H28" i="22" s="1"/>
  <c r="J28" i="26"/>
  <c r="H29" i="26"/>
  <c r="J29" i="26"/>
  <c r="J27" i="26"/>
  <c r="H27" i="26"/>
  <c r="DL23" i="4"/>
  <c r="BY58" i="4"/>
  <c r="BO58" i="4"/>
  <c r="BS58" i="4"/>
  <c r="BP58" i="4"/>
  <c r="BQ58" i="4"/>
  <c r="BR58" i="4"/>
  <c r="AS58" i="4"/>
  <c r="AT58" i="4"/>
  <c r="AQ58" i="4"/>
  <c r="AU58" i="4"/>
  <c r="AR58" i="4"/>
  <c r="BV41" i="4"/>
  <c r="BO41" i="4"/>
  <c r="BS41" i="4"/>
  <c r="BR41" i="4"/>
  <c r="AS41" i="4"/>
  <c r="AT41" i="4"/>
  <c r="BP41" i="4"/>
  <c r="AQ41" i="4"/>
  <c r="AU41" i="4"/>
  <c r="BQ41" i="4"/>
  <c r="AR41" i="4"/>
  <c r="BX43" i="4"/>
  <c r="BQ43" i="4"/>
  <c r="BP43" i="4"/>
  <c r="BR43" i="4"/>
  <c r="AQ43" i="4"/>
  <c r="AU43" i="4"/>
  <c r="BS43" i="4"/>
  <c r="AR43" i="4"/>
  <c r="AS43" i="4"/>
  <c r="BO43" i="4"/>
  <c r="AT43" i="4"/>
  <c r="DH41" i="4"/>
  <c r="DM41" i="4"/>
  <c r="DN41" i="4"/>
  <c r="DO41" i="4"/>
  <c r="DL41" i="4"/>
  <c r="CQ41" i="4"/>
  <c r="CO41" i="4"/>
  <c r="CP41" i="4"/>
  <c r="CN41" i="4"/>
  <c r="DK41" i="4"/>
  <c r="CM41" i="4"/>
  <c r="BR23" i="4"/>
  <c r="BO23" i="4"/>
  <c r="BS23" i="4"/>
  <c r="BP23" i="4"/>
  <c r="BQ23" i="4"/>
  <c r="BT23" i="4"/>
  <c r="BX23" i="4"/>
  <c r="CB23" i="4"/>
  <c r="CF23" i="4"/>
  <c r="BE23" i="4"/>
  <c r="AN23" i="4"/>
  <c r="AS23" i="4"/>
  <c r="AW23" i="4"/>
  <c r="BA23" i="4"/>
  <c r="BU23" i="4"/>
  <c r="BY23" i="4"/>
  <c r="CC23" i="4"/>
  <c r="BK23" i="4"/>
  <c r="BF23" i="4"/>
  <c r="AP23" i="4"/>
  <c r="AT23" i="4"/>
  <c r="AX23" i="4"/>
  <c r="BB23" i="4"/>
  <c r="AK23" i="4"/>
  <c r="BL23" i="4"/>
  <c r="BV23" i="4"/>
  <c r="BZ23" i="4"/>
  <c r="CD23" i="4"/>
  <c r="BI23" i="4"/>
  <c r="BG23" i="4"/>
  <c r="AQ23" i="4"/>
  <c r="AU23" i="4"/>
  <c r="AY23" i="4"/>
  <c r="BC23" i="4"/>
  <c r="BN23" i="4"/>
  <c r="BW23" i="4"/>
  <c r="CA23" i="4"/>
  <c r="CE23" i="4"/>
  <c r="BD23" i="4"/>
  <c r="BH23" i="4"/>
  <c r="AR23" i="4"/>
  <c r="AV23" i="4"/>
  <c r="AZ23" i="4"/>
  <c r="AM23" i="4"/>
  <c r="BV42" i="4"/>
  <c r="BR42" i="4"/>
  <c r="BQ42" i="4"/>
  <c r="BO42" i="4"/>
  <c r="AR42" i="4"/>
  <c r="BP42" i="4"/>
  <c r="AS42" i="4"/>
  <c r="BS42" i="4"/>
  <c r="AT42" i="4"/>
  <c r="AQ42" i="4"/>
  <c r="AU42" i="4"/>
  <c r="DK23" i="4"/>
  <c r="DM23" i="4"/>
  <c r="DN23" i="4"/>
  <c r="DO23" i="4"/>
  <c r="CP23" i="4"/>
  <c r="CM23" i="4"/>
  <c r="CO23" i="4"/>
  <c r="CQ23" i="4"/>
  <c r="BP44" i="4"/>
  <c r="BO44" i="4"/>
  <c r="BS44" i="4"/>
  <c r="AT44" i="4"/>
  <c r="AQ44" i="4"/>
  <c r="AU44" i="4"/>
  <c r="BQ44" i="4"/>
  <c r="AR44" i="4"/>
  <c r="BR44" i="4"/>
  <c r="AS44" i="4"/>
  <c r="DN44" i="4"/>
  <c r="DK44" i="4"/>
  <c r="DO44" i="4"/>
  <c r="DL44" i="4"/>
  <c r="DM44" i="4"/>
  <c r="CN44" i="4"/>
  <c r="CP44" i="4"/>
  <c r="CM44" i="4"/>
  <c r="CQ44" i="4"/>
  <c r="CO44" i="4"/>
  <c r="BP57" i="4"/>
  <c r="BO57" i="4"/>
  <c r="BS57" i="4"/>
  <c r="BQ57" i="4"/>
  <c r="BR57" i="4"/>
  <c r="AT57" i="4"/>
  <c r="AQ57" i="4"/>
  <c r="AU57" i="4"/>
  <c r="AR57" i="4"/>
  <c r="AS57" i="4"/>
  <c r="DL42" i="4"/>
  <c r="DM42" i="4"/>
  <c r="DN42" i="4"/>
  <c r="DK42" i="4"/>
  <c r="DO42" i="4"/>
  <c r="CP42" i="4"/>
  <c r="CN42" i="4"/>
  <c r="CO42" i="4"/>
  <c r="CM42" i="4"/>
  <c r="CQ42" i="4"/>
  <c r="DT58" i="4"/>
  <c r="DM58" i="4"/>
  <c r="DN58" i="4"/>
  <c r="DK58" i="4"/>
  <c r="DO58" i="4"/>
  <c r="DL58" i="4"/>
  <c r="CM58" i="4"/>
  <c r="CQ58" i="4"/>
  <c r="CO58" i="4"/>
  <c r="CP58" i="4"/>
  <c r="CN58" i="4"/>
  <c r="DS43" i="4"/>
  <c r="DK43" i="4"/>
  <c r="DO43" i="4"/>
  <c r="DL43" i="4"/>
  <c r="DM43" i="4"/>
  <c r="DN43" i="4"/>
  <c r="CO43" i="4"/>
  <c r="CM43" i="4"/>
  <c r="CQ43" i="4"/>
  <c r="CN43" i="4"/>
  <c r="CP43" i="4"/>
  <c r="DN57" i="4"/>
  <c r="DK57" i="4"/>
  <c r="DO57" i="4"/>
  <c r="DL57" i="4"/>
  <c r="DM57" i="4"/>
  <c r="CN57" i="4"/>
  <c r="CP57" i="4"/>
  <c r="CM57" i="4"/>
  <c r="CQ57" i="4"/>
  <c r="CO57" i="4"/>
  <c r="CN23" i="4"/>
  <c r="AC39" i="41"/>
  <c r="H103" i="30"/>
  <c r="AC39" i="42"/>
  <c r="H102" i="30"/>
  <c r="H129" i="30"/>
  <c r="DE23" i="4"/>
  <c r="CG23" i="4"/>
  <c r="DY23" i="4"/>
  <c r="DA23" i="4"/>
  <c r="EB23" i="4"/>
  <c r="DD23" i="4"/>
  <c r="DW23" i="4"/>
  <c r="CY23" i="4"/>
  <c r="EA23" i="4"/>
  <c r="DC23" i="4"/>
  <c r="DX23" i="4"/>
  <c r="CZ23" i="4"/>
  <c r="DG23" i="4"/>
  <c r="CI23" i="4"/>
  <c r="DH23" i="4"/>
  <c r="CJ23" i="4"/>
  <c r="DJ23" i="4"/>
  <c r="CL23" i="4"/>
  <c r="DP23" i="4"/>
  <c r="CR23" i="4"/>
  <c r="DQ23" i="4"/>
  <c r="CS23" i="4"/>
  <c r="DR23" i="4"/>
  <c r="CT23" i="4"/>
  <c r="DS23" i="4"/>
  <c r="CU23" i="4"/>
  <c r="DT23" i="4"/>
  <c r="CV23" i="4"/>
  <c r="DU23" i="4"/>
  <c r="CW23" i="4"/>
  <c r="DV23" i="4"/>
  <c r="CX23" i="4"/>
  <c r="DZ23" i="4"/>
  <c r="DB23" i="4"/>
  <c r="DS57" i="4"/>
  <c r="AJ58" i="4"/>
  <c r="BL44" i="4"/>
  <c r="BV44" i="4"/>
  <c r="BZ44" i="4"/>
  <c r="CD44" i="4"/>
  <c r="BN44" i="4"/>
  <c r="BW44" i="4"/>
  <c r="CA44" i="4"/>
  <c r="CE44" i="4"/>
  <c r="BK44" i="4"/>
  <c r="BI44" i="4"/>
  <c r="DH44" i="4"/>
  <c r="DR44" i="4"/>
  <c r="DV44" i="4"/>
  <c r="DZ44" i="4"/>
  <c r="CR44" i="4"/>
  <c r="CV44" i="4"/>
  <c r="CZ44" i="4"/>
  <c r="DD44" i="4"/>
  <c r="CG44" i="4"/>
  <c r="DJ44" i="4"/>
  <c r="DS44" i="4"/>
  <c r="DW44" i="4"/>
  <c r="EA44" i="4"/>
  <c r="DG44" i="4"/>
  <c r="CS44" i="4"/>
  <c r="CW44" i="4"/>
  <c r="DA44" i="4"/>
  <c r="BU57" i="4"/>
  <c r="BY57" i="4"/>
  <c r="CC57" i="4"/>
  <c r="AN57" i="4"/>
  <c r="AX57" i="4"/>
  <c r="BB57" i="4"/>
  <c r="BF57" i="4"/>
  <c r="BL57" i="4"/>
  <c r="BV57" i="4"/>
  <c r="BZ57" i="4"/>
  <c r="CD57" i="4"/>
  <c r="AP57" i="4"/>
  <c r="AY57" i="4"/>
  <c r="BC57" i="4"/>
  <c r="BG57" i="4"/>
  <c r="DP42" i="4"/>
  <c r="DT42" i="4"/>
  <c r="DX42" i="4"/>
  <c r="EB42" i="4"/>
  <c r="DE42" i="4"/>
  <c r="CJ42" i="4"/>
  <c r="CT42" i="4"/>
  <c r="CX42" i="4"/>
  <c r="DB42" i="4"/>
  <c r="DQ42" i="4"/>
  <c r="DU42" i="4"/>
  <c r="DY42" i="4"/>
  <c r="CL42" i="4"/>
  <c r="CU42" i="4"/>
  <c r="CY42" i="4"/>
  <c r="DC42" i="4"/>
  <c r="CI42" i="4"/>
  <c r="AK44" i="4"/>
  <c r="BF44" i="4"/>
  <c r="BB44" i="4"/>
  <c r="AX44" i="4"/>
  <c r="AN44" i="4"/>
  <c r="BF43" i="4"/>
  <c r="BB43" i="4"/>
  <c r="AX43" i="4"/>
  <c r="AN43" i="4"/>
  <c r="BF42" i="4"/>
  <c r="BB42" i="4"/>
  <c r="AX42" i="4"/>
  <c r="AN42" i="4"/>
  <c r="BF41" i="4"/>
  <c r="BB41" i="4"/>
  <c r="AX41" i="4"/>
  <c r="AN41" i="4"/>
  <c r="BH58" i="4"/>
  <c r="BD58" i="4"/>
  <c r="AZ58" i="4"/>
  <c r="AP58" i="4"/>
  <c r="BD57" i="4"/>
  <c r="AV57" i="4"/>
  <c r="BK41" i="4"/>
  <c r="CB44" i="4"/>
  <c r="BT44" i="4"/>
  <c r="CA43" i="4"/>
  <c r="BN43" i="4"/>
  <c r="BZ42" i="4"/>
  <c r="BL42" i="4"/>
  <c r="BY41" i="4"/>
  <c r="BK57" i="4"/>
  <c r="CB58" i="4"/>
  <c r="BT58" i="4"/>
  <c r="CA57" i="4"/>
  <c r="BN57" i="4"/>
  <c r="CG42" i="4"/>
  <c r="CX44" i="4"/>
  <c r="CJ44" i="4"/>
  <c r="CW43" i="4"/>
  <c r="DD42" i="4"/>
  <c r="CV42" i="4"/>
  <c r="DC41" i="4"/>
  <c r="CU41" i="4"/>
  <c r="CG58" i="4"/>
  <c r="CX58" i="4"/>
  <c r="CJ58" i="4"/>
  <c r="CW57" i="4"/>
  <c r="DG41" i="4"/>
  <c r="EB44" i="4"/>
  <c r="DT44" i="4"/>
  <c r="EA43" i="4"/>
  <c r="DZ42" i="4"/>
  <c r="DR42" i="4"/>
  <c r="DY41" i="4"/>
  <c r="DQ41" i="4"/>
  <c r="EB58" i="4"/>
  <c r="EA57" i="4"/>
  <c r="DH58" i="4"/>
  <c r="DR58" i="4"/>
  <c r="DV58" i="4"/>
  <c r="DZ58" i="4"/>
  <c r="DE58" i="4"/>
  <c r="CR58" i="4"/>
  <c r="CV58" i="4"/>
  <c r="CZ58" i="4"/>
  <c r="DD58" i="4"/>
  <c r="DJ58" i="4"/>
  <c r="DS58" i="4"/>
  <c r="DW58" i="4"/>
  <c r="EA58" i="4"/>
  <c r="DG58" i="4"/>
  <c r="CS58" i="4"/>
  <c r="CW58" i="4"/>
  <c r="DA58" i="4"/>
  <c r="DQ43" i="4"/>
  <c r="DU43" i="4"/>
  <c r="DY43" i="4"/>
  <c r="DG43" i="4"/>
  <c r="CL43" i="4"/>
  <c r="CU43" i="4"/>
  <c r="CY43" i="4"/>
  <c r="DC43" i="4"/>
  <c r="DH43" i="4"/>
  <c r="DR43" i="4"/>
  <c r="DV43" i="4"/>
  <c r="DZ43" i="4"/>
  <c r="DE43" i="4"/>
  <c r="CR43" i="4"/>
  <c r="CV43" i="4"/>
  <c r="CZ43" i="4"/>
  <c r="DD43" i="4"/>
  <c r="DQ57" i="4"/>
  <c r="DU57" i="4"/>
  <c r="DY57" i="4"/>
  <c r="CL57" i="4"/>
  <c r="CU57" i="4"/>
  <c r="CY57" i="4"/>
  <c r="DC57" i="4"/>
  <c r="CI57" i="4"/>
  <c r="DH57" i="4"/>
  <c r="DR57" i="4"/>
  <c r="DV57" i="4"/>
  <c r="DZ57" i="4"/>
  <c r="CR57" i="4"/>
  <c r="CV57" i="4"/>
  <c r="CZ57" i="4"/>
  <c r="DD57" i="4"/>
  <c r="CG57" i="4"/>
  <c r="AK41" i="4"/>
  <c r="BE44" i="4"/>
  <c r="BA44" i="4"/>
  <c r="AW44" i="4"/>
  <c r="AM44" i="4"/>
  <c r="BE43" i="4"/>
  <c r="BA43" i="4"/>
  <c r="AW43" i="4"/>
  <c r="AM43" i="4"/>
  <c r="BE42" i="4"/>
  <c r="BA42" i="4"/>
  <c r="AW42" i="4"/>
  <c r="AM42" i="4"/>
  <c r="BE41" i="4"/>
  <c r="BA41" i="4"/>
  <c r="AW41" i="4"/>
  <c r="AM41" i="4"/>
  <c r="BG58" i="4"/>
  <c r="BC58" i="4"/>
  <c r="AY58" i="4"/>
  <c r="AM58" i="4"/>
  <c r="BA57" i="4"/>
  <c r="AM57" i="4"/>
  <c r="BK42" i="4"/>
  <c r="BY44" i="4"/>
  <c r="CF43" i="4"/>
  <c r="CE42" i="4"/>
  <c r="BW42" i="4"/>
  <c r="CD41" i="4"/>
  <c r="BI57" i="4"/>
  <c r="CF57" i="4"/>
  <c r="BX57" i="4"/>
  <c r="CI44" i="4"/>
  <c r="DC44" i="4"/>
  <c r="CU44" i="4"/>
  <c r="DB43" i="4"/>
  <c r="CT43" i="4"/>
  <c r="DA42" i="4"/>
  <c r="CS42" i="4"/>
  <c r="CZ41" i="4"/>
  <c r="CR41" i="4"/>
  <c r="DC58" i="4"/>
  <c r="CU58" i="4"/>
  <c r="DB57" i="4"/>
  <c r="CT57" i="4"/>
  <c r="DG42" i="4"/>
  <c r="DY44" i="4"/>
  <c r="DQ44" i="4"/>
  <c r="DX43" i="4"/>
  <c r="DP43" i="4"/>
  <c r="DW42" i="4"/>
  <c r="DJ42" i="4"/>
  <c r="DV41" i="4"/>
  <c r="DY58" i="4"/>
  <c r="DQ58" i="4"/>
  <c r="DX57" i="4"/>
  <c r="DP57" i="4"/>
  <c r="BL58" i="4"/>
  <c r="BV58" i="4"/>
  <c r="BZ58" i="4"/>
  <c r="CD58" i="4"/>
  <c r="BI58" i="4"/>
  <c r="AN58" i="4"/>
  <c r="AX58" i="4"/>
  <c r="BN58" i="4"/>
  <c r="BW58" i="4"/>
  <c r="CA58" i="4"/>
  <c r="CE58" i="4"/>
  <c r="BK58" i="4"/>
  <c r="BN41" i="4"/>
  <c r="BW41" i="4"/>
  <c r="CA41" i="4"/>
  <c r="CE41" i="4"/>
  <c r="BT41" i="4"/>
  <c r="BX41" i="4"/>
  <c r="CB41" i="4"/>
  <c r="CF41" i="4"/>
  <c r="BU43" i="4"/>
  <c r="BY43" i="4"/>
  <c r="CC43" i="4"/>
  <c r="BK43" i="4"/>
  <c r="BI43" i="4"/>
  <c r="BL43" i="4"/>
  <c r="BV43" i="4"/>
  <c r="BZ43" i="4"/>
  <c r="CD43" i="4"/>
  <c r="DJ41" i="4"/>
  <c r="DS41" i="4"/>
  <c r="DW41" i="4"/>
  <c r="EA41" i="4"/>
  <c r="CS41" i="4"/>
  <c r="CW41" i="4"/>
  <c r="DA41" i="4"/>
  <c r="CI41" i="4"/>
  <c r="DP41" i="4"/>
  <c r="DT41" i="4"/>
  <c r="DX41" i="4"/>
  <c r="EB41" i="4"/>
  <c r="CJ41" i="4"/>
  <c r="CT41" i="4"/>
  <c r="CX41" i="4"/>
  <c r="DB41" i="4"/>
  <c r="CG41" i="4"/>
  <c r="AK42" i="4"/>
  <c r="BH44" i="4"/>
  <c r="BD44" i="4"/>
  <c r="AZ44" i="4"/>
  <c r="AV44" i="4"/>
  <c r="BH43" i="4"/>
  <c r="BD43" i="4"/>
  <c r="AZ43" i="4"/>
  <c r="AV43" i="4"/>
  <c r="BH42" i="4"/>
  <c r="BD42" i="4"/>
  <c r="AZ42" i="4"/>
  <c r="AV42" i="4"/>
  <c r="BH41" i="4"/>
  <c r="BD41" i="4"/>
  <c r="AZ41" i="4"/>
  <c r="AV41" i="4"/>
  <c r="AK57" i="4"/>
  <c r="BF58" i="4"/>
  <c r="BB58" i="4"/>
  <c r="AW58" i="4"/>
  <c r="BH57" i="4"/>
  <c r="AZ57" i="4"/>
  <c r="BI41" i="4"/>
  <c r="CF44" i="4"/>
  <c r="BX44" i="4"/>
  <c r="CE43" i="4"/>
  <c r="BW43" i="4"/>
  <c r="CD42" i="4"/>
  <c r="CC41" i="4"/>
  <c r="BU41" i="4"/>
  <c r="CF58" i="4"/>
  <c r="BX58" i="4"/>
  <c r="CE57" i="4"/>
  <c r="BW57" i="4"/>
  <c r="CI43" i="4"/>
  <c r="DB44" i="4"/>
  <c r="CT44" i="4"/>
  <c r="DA43" i="4"/>
  <c r="CS43" i="4"/>
  <c r="CZ42" i="4"/>
  <c r="CR42" i="4"/>
  <c r="CY41" i="4"/>
  <c r="CL41" i="4"/>
  <c r="DB58" i="4"/>
  <c r="CT58" i="4"/>
  <c r="DA57" i="4"/>
  <c r="CS57" i="4"/>
  <c r="DE44" i="4"/>
  <c r="DX44" i="4"/>
  <c r="DP44" i="4"/>
  <c r="DW43" i="4"/>
  <c r="DJ43" i="4"/>
  <c r="DV42" i="4"/>
  <c r="DH42" i="4"/>
  <c r="DU41" i="4"/>
  <c r="DG57" i="4"/>
  <c r="DX58" i="4"/>
  <c r="DP58" i="4"/>
  <c r="DW57" i="4"/>
  <c r="DJ57" i="4"/>
  <c r="BT42" i="4"/>
  <c r="BX42" i="4"/>
  <c r="CB42" i="4"/>
  <c r="CF42" i="4"/>
  <c r="BU42" i="4"/>
  <c r="BY42" i="4"/>
  <c r="CC42" i="4"/>
  <c r="AK43" i="4"/>
  <c r="BG44" i="4"/>
  <c r="BC44" i="4"/>
  <c r="AY44" i="4"/>
  <c r="AP44" i="4"/>
  <c r="BG43" i="4"/>
  <c r="BC43" i="4"/>
  <c r="AY43" i="4"/>
  <c r="AP43" i="4"/>
  <c r="BG42" i="4"/>
  <c r="BC42" i="4"/>
  <c r="AY42" i="4"/>
  <c r="AP42" i="4"/>
  <c r="BG41" i="4"/>
  <c r="BC41" i="4"/>
  <c r="AY41" i="4"/>
  <c r="AP41" i="4"/>
  <c r="AK58" i="4"/>
  <c r="BE58" i="4"/>
  <c r="BA58" i="4"/>
  <c r="AV58" i="4"/>
  <c r="BE57" i="4"/>
  <c r="AW57" i="4"/>
  <c r="BI42" i="4"/>
  <c r="CC44" i="4"/>
  <c r="BU44" i="4"/>
  <c r="CB43" i="4"/>
  <c r="BT43" i="4"/>
  <c r="CA42" i="4"/>
  <c r="BN42" i="4"/>
  <c r="BZ41" i="4"/>
  <c r="BL41" i="4"/>
  <c r="CC58" i="4"/>
  <c r="BU58" i="4"/>
  <c r="CB57" i="4"/>
  <c r="BT57" i="4"/>
  <c r="CG43" i="4"/>
  <c r="CY44" i="4"/>
  <c r="CL44" i="4"/>
  <c r="CX43" i="4"/>
  <c r="CJ43" i="4"/>
  <c r="CW42" i="4"/>
  <c r="DD41" i="4"/>
  <c r="CV41" i="4"/>
  <c r="CI58" i="4"/>
  <c r="CY58" i="4"/>
  <c r="CL58" i="4"/>
  <c r="CX57" i="4"/>
  <c r="CJ57" i="4"/>
  <c r="DE41" i="4"/>
  <c r="DU44" i="4"/>
  <c r="EB43" i="4"/>
  <c r="DT43" i="4"/>
  <c r="EA42" i="4"/>
  <c r="DS42" i="4"/>
  <c r="DZ41" i="4"/>
  <c r="DR41" i="4"/>
  <c r="DE57" i="4"/>
  <c r="DU58" i="4"/>
  <c r="EB57" i="4"/>
  <c r="DT57" i="4"/>
  <c r="J21" i="39"/>
  <c r="H18" i="38"/>
  <c r="J16" i="39"/>
  <c r="H17" i="39"/>
  <c r="H23" i="38"/>
  <c r="H20" i="39"/>
  <c r="AJ23" i="4"/>
  <c r="H114" i="30"/>
  <c r="H18" i="39"/>
  <c r="J9" i="38"/>
  <c r="H16" i="38"/>
  <c r="H29" i="30"/>
  <c r="J29" i="30" s="1"/>
  <c r="J20" i="38"/>
  <c r="H19" i="39"/>
  <c r="H17" i="38"/>
  <c r="H21" i="38"/>
  <c r="H60" i="38"/>
  <c r="H62" i="38" s="1"/>
  <c r="F114" i="30"/>
  <c r="F168" i="30" s="1"/>
  <c r="J13" i="30"/>
  <c r="AC25" i="39"/>
  <c r="AC26" i="39"/>
  <c r="F112" i="39"/>
  <c r="J112" i="39" s="1"/>
  <c r="J118" i="39" s="1"/>
  <c r="F20" i="39" s="1"/>
  <c r="J20" i="39" s="1"/>
  <c r="AC24" i="39"/>
  <c r="AC28" i="39"/>
  <c r="H134" i="39"/>
  <c r="AC23" i="39"/>
  <c r="F98" i="30"/>
  <c r="F152" i="30" s="1"/>
  <c r="J123" i="38"/>
  <c r="J102" i="38"/>
  <c r="AC27" i="38" s="1"/>
  <c r="J131" i="38"/>
  <c r="J82" i="38"/>
  <c r="AC26" i="38" s="1"/>
  <c r="F62" i="38"/>
  <c r="AC39" i="38" s="1"/>
  <c r="J60" i="38"/>
  <c r="J62" i="38" s="1"/>
  <c r="AC32" i="38"/>
  <c r="F137" i="38"/>
  <c r="J137" i="38" s="1"/>
  <c r="J143" i="38" s="1"/>
  <c r="F22" i="38" s="1"/>
  <c r="J22" i="38" s="1"/>
  <c r="AC29" i="38"/>
  <c r="AC25" i="38"/>
  <c r="J77" i="23"/>
  <c r="J76" i="24"/>
  <c r="F81" i="4"/>
  <c r="F82" i="4"/>
  <c r="E81" i="4"/>
  <c r="E82" i="4"/>
  <c r="B81" i="4"/>
  <c r="B82" i="4"/>
  <c r="C81" i="4"/>
  <c r="C82" i="4"/>
  <c r="L133" i="27"/>
  <c r="L134" i="27"/>
  <c r="AJ78" i="4"/>
  <c r="C78" i="4"/>
  <c r="F78" i="4"/>
  <c r="B78" i="4"/>
  <c r="L130" i="27"/>
  <c r="H58" i="37"/>
  <c r="H60" i="37" s="1"/>
  <c r="AC35" i="37" s="1"/>
  <c r="H53" i="37"/>
  <c r="H52" i="37"/>
  <c r="H51" i="37"/>
  <c r="H47" i="37"/>
  <c r="H46" i="37"/>
  <c r="H45" i="37"/>
  <c r="H44" i="37"/>
  <c r="H40" i="37"/>
  <c r="H39" i="37"/>
  <c r="H38" i="37"/>
  <c r="H37" i="37"/>
  <c r="H33" i="37"/>
  <c r="H32" i="37"/>
  <c r="H31" i="37"/>
  <c r="H30" i="37"/>
  <c r="H25" i="37"/>
  <c r="AC30" i="37" s="1"/>
  <c r="H24" i="37"/>
  <c r="AC29" i="37" s="1"/>
  <c r="H21" i="37"/>
  <c r="AC28" i="37" s="1"/>
  <c r="H20" i="37"/>
  <c r="AC27" i="37" s="1"/>
  <c r="H19" i="37"/>
  <c r="AC26" i="37" s="1"/>
  <c r="H18" i="37"/>
  <c r="AC25" i="37" s="1"/>
  <c r="H17" i="37"/>
  <c r="H16" i="37"/>
  <c r="H10" i="37"/>
  <c r="F9" i="37"/>
  <c r="J9" i="37" s="1"/>
  <c r="F58" i="30"/>
  <c r="F59" i="30"/>
  <c r="F57" i="30"/>
  <c r="F27" i="30"/>
  <c r="F28" i="30"/>
  <c r="J130" i="37"/>
  <c r="L130" i="37" s="1"/>
  <c r="F21" i="37" s="1"/>
  <c r="J21" i="37" s="1"/>
  <c r="F130" i="37"/>
  <c r="L129" i="37"/>
  <c r="H129" i="37"/>
  <c r="L128" i="37"/>
  <c r="H128" i="37"/>
  <c r="L127" i="37"/>
  <c r="H127" i="37"/>
  <c r="L126" i="37"/>
  <c r="H126" i="37"/>
  <c r="L125" i="37"/>
  <c r="H125" i="37"/>
  <c r="L124" i="37"/>
  <c r="H124" i="37"/>
  <c r="J113" i="37"/>
  <c r="J112" i="37"/>
  <c r="J111" i="37"/>
  <c r="J110" i="37"/>
  <c r="J109" i="37"/>
  <c r="J107" i="37"/>
  <c r="J101" i="37"/>
  <c r="J100" i="37"/>
  <c r="J99" i="37"/>
  <c r="J93" i="37"/>
  <c r="J92" i="37"/>
  <c r="J91" i="37"/>
  <c r="J88" i="37"/>
  <c r="J87" i="37"/>
  <c r="J86" i="37"/>
  <c r="J78" i="37"/>
  <c r="J77" i="37"/>
  <c r="J72" i="37"/>
  <c r="J71" i="37"/>
  <c r="F16" i="37" s="1"/>
  <c r="J16" i="37" s="1"/>
  <c r="AB28" i="37"/>
  <c r="AB27" i="37"/>
  <c r="AB26" i="37"/>
  <c r="AB25" i="37"/>
  <c r="AB24" i="37"/>
  <c r="H38" i="26"/>
  <c r="H384" i="26"/>
  <c r="L384" i="26"/>
  <c r="H383" i="26"/>
  <c r="L383" i="26"/>
  <c r="H284" i="26"/>
  <c r="L284" i="26"/>
  <c r="H283" i="26"/>
  <c r="L283" i="26"/>
  <c r="H177" i="26"/>
  <c r="L177" i="26"/>
  <c r="H175" i="26"/>
  <c r="L175" i="26"/>
  <c r="J350" i="26"/>
  <c r="J314" i="26"/>
  <c r="J315" i="26"/>
  <c r="J312" i="26"/>
  <c r="J313" i="26"/>
  <c r="J121" i="26"/>
  <c r="J120" i="26"/>
  <c r="J446" i="26"/>
  <c r="L446" i="26" s="1"/>
  <c r="F50" i="26" s="1"/>
  <c r="H50" i="26" s="1"/>
  <c r="F446" i="26"/>
  <c r="D427" i="26" s="1"/>
  <c r="D428" i="26" s="1"/>
  <c r="L445" i="26"/>
  <c r="H445" i="26"/>
  <c r="L444" i="26"/>
  <c r="H444" i="26"/>
  <c r="L443" i="26"/>
  <c r="H443" i="26"/>
  <c r="L442" i="26"/>
  <c r="H442" i="26"/>
  <c r="J432" i="26"/>
  <c r="J431" i="26"/>
  <c r="J430" i="26"/>
  <c r="J429" i="26"/>
  <c r="J428" i="26"/>
  <c r="J426" i="26"/>
  <c r="J420" i="26"/>
  <c r="J419" i="26"/>
  <c r="J418" i="26"/>
  <c r="J407" i="26"/>
  <c r="J406" i="26"/>
  <c r="J405" i="26"/>
  <c r="J396" i="26"/>
  <c r="H396" i="26"/>
  <c r="F94" i="26" s="1"/>
  <c r="H94" i="26" s="1"/>
  <c r="L395" i="26"/>
  <c r="H395" i="26"/>
  <c r="L394" i="26"/>
  <c r="H394" i="26"/>
  <c r="L393" i="26"/>
  <c r="H393" i="26"/>
  <c r="L392" i="26"/>
  <c r="H392" i="26"/>
  <c r="L391" i="26"/>
  <c r="H391" i="26"/>
  <c r="L390" i="26"/>
  <c r="H390" i="26"/>
  <c r="L389" i="26"/>
  <c r="H389" i="26"/>
  <c r="L388" i="26"/>
  <c r="H388" i="26"/>
  <c r="L386" i="26"/>
  <c r="H386" i="26"/>
  <c r="L385" i="26"/>
  <c r="H385" i="26"/>
  <c r="L382" i="26"/>
  <c r="H382" i="26"/>
  <c r="J372" i="26"/>
  <c r="J371" i="26"/>
  <c r="J370" i="26"/>
  <c r="J369" i="26"/>
  <c r="J368" i="26"/>
  <c r="J366" i="26"/>
  <c r="J360" i="26"/>
  <c r="J359" i="26"/>
  <c r="J358" i="26"/>
  <c r="J352" i="26"/>
  <c r="J351" i="26"/>
  <c r="J344" i="26"/>
  <c r="J342" i="26"/>
  <c r="J341" i="26"/>
  <c r="J340" i="26"/>
  <c r="J339" i="26"/>
  <c r="J338" i="26"/>
  <c r="J331" i="26"/>
  <c r="J330" i="26"/>
  <c r="J329" i="26"/>
  <c r="J323" i="26"/>
  <c r="J322" i="26"/>
  <c r="J321" i="26"/>
  <c r="J318" i="26"/>
  <c r="J317" i="26"/>
  <c r="J316" i="26"/>
  <c r="J305" i="26"/>
  <c r="J304" i="26"/>
  <c r="J303" i="26"/>
  <c r="J302" i="26"/>
  <c r="F32" i="26"/>
  <c r="L295" i="26"/>
  <c r="H295" i="26"/>
  <c r="L294" i="26"/>
  <c r="H294" i="26"/>
  <c r="L293" i="26"/>
  <c r="H293" i="26"/>
  <c r="L288" i="26"/>
  <c r="H288" i="26"/>
  <c r="L287" i="26"/>
  <c r="H287" i="26"/>
  <c r="L286" i="26"/>
  <c r="H286" i="26"/>
  <c r="L285" i="26"/>
  <c r="H285" i="26"/>
  <c r="L282" i="26"/>
  <c r="H282" i="26"/>
  <c r="L281" i="26"/>
  <c r="H281" i="26"/>
  <c r="L280" i="26"/>
  <c r="H280" i="26"/>
  <c r="J270" i="26"/>
  <c r="J269" i="26"/>
  <c r="J268" i="26"/>
  <c r="J267" i="26"/>
  <c r="J266" i="26"/>
  <c r="J264" i="26"/>
  <c r="J258" i="26"/>
  <c r="J257" i="26"/>
  <c r="J256" i="26"/>
  <c r="J219" i="26"/>
  <c r="J218" i="26"/>
  <c r="J217" i="26"/>
  <c r="J214" i="26"/>
  <c r="J213" i="26"/>
  <c r="J212" i="26"/>
  <c r="J205" i="26"/>
  <c r="J204" i="26"/>
  <c r="J203" i="26"/>
  <c r="J202" i="26"/>
  <c r="J195" i="26"/>
  <c r="J193" i="26"/>
  <c r="J192" i="26"/>
  <c r="J191" i="26"/>
  <c r="J185" i="26"/>
  <c r="L185" i="26" s="1"/>
  <c r="F20" i="26" s="1"/>
  <c r="F185" i="26"/>
  <c r="D153" i="26" s="1"/>
  <c r="D154" i="26" s="1"/>
  <c r="L184" i="26"/>
  <c r="H184" i="26"/>
  <c r="L183" i="26"/>
  <c r="H183" i="26"/>
  <c r="L182" i="26"/>
  <c r="H182" i="26"/>
  <c r="L181" i="26"/>
  <c r="H181" i="26"/>
  <c r="L180" i="26"/>
  <c r="H180" i="26"/>
  <c r="L179" i="26"/>
  <c r="H179" i="26"/>
  <c r="L178" i="26"/>
  <c r="H178" i="26"/>
  <c r="L176" i="26"/>
  <c r="H176" i="26"/>
  <c r="L174" i="26"/>
  <c r="H174" i="26"/>
  <c r="L173" i="26"/>
  <c r="H173" i="26"/>
  <c r="L172" i="26"/>
  <c r="H172" i="26"/>
  <c r="L171" i="26"/>
  <c r="H171" i="26"/>
  <c r="L170" i="26"/>
  <c r="H170" i="26"/>
  <c r="L169" i="26"/>
  <c r="H169" i="26"/>
  <c r="J158" i="26"/>
  <c r="J157" i="26"/>
  <c r="J156" i="26"/>
  <c r="J155" i="26"/>
  <c r="J154" i="26"/>
  <c r="J152" i="26"/>
  <c r="J146" i="26"/>
  <c r="J145" i="26"/>
  <c r="J144" i="26"/>
  <c r="J138" i="26"/>
  <c r="J137" i="26"/>
  <c r="J136" i="26"/>
  <c r="J133" i="26"/>
  <c r="J132" i="26"/>
  <c r="J131" i="26"/>
  <c r="J124" i="26"/>
  <c r="J123" i="26"/>
  <c r="J122" i="26"/>
  <c r="J119" i="26"/>
  <c r="J112" i="26"/>
  <c r="J110" i="26"/>
  <c r="J109" i="26"/>
  <c r="J108" i="26"/>
  <c r="S18" i="26"/>
  <c r="O19" i="26" s="1"/>
  <c r="AB24" i="36"/>
  <c r="AB25" i="36"/>
  <c r="AB26" i="36"/>
  <c r="AB27" i="36"/>
  <c r="AB28" i="36"/>
  <c r="H9" i="36"/>
  <c r="F9" i="36" s="1"/>
  <c r="J9" i="36" s="1"/>
  <c r="F21" i="36"/>
  <c r="AC28" i="36" s="1"/>
  <c r="F9" i="35"/>
  <c r="J103" i="23"/>
  <c r="J207" i="20"/>
  <c r="J324" i="20"/>
  <c r="J323" i="20"/>
  <c r="J321" i="20"/>
  <c r="J320" i="20"/>
  <c r="J317" i="20"/>
  <c r="J316" i="20"/>
  <c r="J314" i="20"/>
  <c r="J313" i="20"/>
  <c r="J312" i="20"/>
  <c r="J216" i="20"/>
  <c r="J215" i="20"/>
  <c r="J213" i="20"/>
  <c r="J212" i="20"/>
  <c r="J209" i="20"/>
  <c r="J208" i="20"/>
  <c r="J206" i="20"/>
  <c r="J205" i="20"/>
  <c r="J204" i="20"/>
  <c r="L282" i="20"/>
  <c r="L179" i="23"/>
  <c r="H179" i="23"/>
  <c r="H181" i="23"/>
  <c r="H171" i="23"/>
  <c r="H172" i="23"/>
  <c r="H173" i="23"/>
  <c r="H174" i="23"/>
  <c r="H175" i="23"/>
  <c r="H176" i="23"/>
  <c r="H178" i="23"/>
  <c r="H182" i="23"/>
  <c r="H183" i="23"/>
  <c r="H184" i="23"/>
  <c r="H186" i="23"/>
  <c r="H187" i="23"/>
  <c r="H188" i="23"/>
  <c r="H189" i="23"/>
  <c r="H170" i="23"/>
  <c r="L171" i="23"/>
  <c r="L172" i="23"/>
  <c r="L173" i="23"/>
  <c r="L174" i="23"/>
  <c r="L175" i="23"/>
  <c r="L176" i="23"/>
  <c r="L178" i="23"/>
  <c r="L181" i="23"/>
  <c r="L182" i="23"/>
  <c r="L183" i="23"/>
  <c r="L184" i="23"/>
  <c r="L186" i="23"/>
  <c r="L187" i="23"/>
  <c r="L188" i="23"/>
  <c r="L189" i="23"/>
  <c r="L170" i="23"/>
  <c r="J114" i="24"/>
  <c r="J113" i="24"/>
  <c r="J112" i="24"/>
  <c r="F34" i="25"/>
  <c r="Z28" i="25" s="1"/>
  <c r="H35" i="25"/>
  <c r="J317" i="22"/>
  <c r="J316" i="22"/>
  <c r="J315" i="22"/>
  <c r="J212" i="21"/>
  <c r="J211" i="21"/>
  <c r="J210" i="21"/>
  <c r="J224" i="20"/>
  <c r="J223" i="20"/>
  <c r="J222" i="20"/>
  <c r="J120" i="23"/>
  <c r="J119" i="23"/>
  <c r="J118" i="23"/>
  <c r="J134" i="36"/>
  <c r="L134" i="36" s="1"/>
  <c r="F134" i="36"/>
  <c r="L133" i="36"/>
  <c r="H133" i="36"/>
  <c r="L132" i="36"/>
  <c r="H132" i="36"/>
  <c r="L131" i="36"/>
  <c r="H131" i="36"/>
  <c r="L130" i="36"/>
  <c r="H130" i="36"/>
  <c r="L129" i="36"/>
  <c r="H129" i="36"/>
  <c r="L128" i="36"/>
  <c r="H128" i="36"/>
  <c r="J117" i="36"/>
  <c r="J116" i="36"/>
  <c r="J115" i="36"/>
  <c r="J114" i="36"/>
  <c r="J113" i="36"/>
  <c r="J111" i="36"/>
  <c r="J105" i="36"/>
  <c r="J104" i="36"/>
  <c r="H103" i="36"/>
  <c r="J103" i="36" s="1"/>
  <c r="J102" i="36"/>
  <c r="J96" i="36"/>
  <c r="J95" i="36"/>
  <c r="J94" i="36"/>
  <c r="J91" i="36"/>
  <c r="J90" i="36"/>
  <c r="J89" i="36"/>
  <c r="J88" i="36"/>
  <c r="J87" i="36"/>
  <c r="J78" i="36"/>
  <c r="J77" i="36"/>
  <c r="J72" i="36"/>
  <c r="J71" i="36"/>
  <c r="F16" i="36" s="1"/>
  <c r="H16" i="36" s="1"/>
  <c r="J134" i="35"/>
  <c r="L134" i="35" s="1"/>
  <c r="F21" i="35" s="1"/>
  <c r="AC28" i="35" s="1"/>
  <c r="F134" i="35"/>
  <c r="L133" i="35"/>
  <c r="H133" i="35"/>
  <c r="L132" i="35"/>
  <c r="H132" i="35"/>
  <c r="L131" i="35"/>
  <c r="H131" i="35"/>
  <c r="L130" i="35"/>
  <c r="H130" i="35"/>
  <c r="L129" i="35"/>
  <c r="H129" i="35"/>
  <c r="L128" i="35"/>
  <c r="H128" i="35"/>
  <c r="J117" i="35"/>
  <c r="J116" i="35"/>
  <c r="J115" i="35"/>
  <c r="J114" i="35"/>
  <c r="J113" i="35"/>
  <c r="J111" i="35"/>
  <c r="J105" i="35"/>
  <c r="J104" i="35"/>
  <c r="H103" i="35"/>
  <c r="J103" i="35" s="1"/>
  <c r="J102" i="35"/>
  <c r="J96" i="35"/>
  <c r="J95" i="35"/>
  <c r="J94" i="35"/>
  <c r="J91" i="35"/>
  <c r="J90" i="35"/>
  <c r="J89" i="35"/>
  <c r="J88" i="35"/>
  <c r="J87" i="35"/>
  <c r="J78" i="35"/>
  <c r="J77" i="35"/>
  <c r="J72" i="35"/>
  <c r="J71" i="35"/>
  <c r="F16" i="35" s="1"/>
  <c r="AC23" i="35" s="1"/>
  <c r="F22" i="39" l="1"/>
  <c r="AC27" i="39"/>
  <c r="F9" i="21"/>
  <c r="J9" i="21" s="1"/>
  <c r="F9" i="24"/>
  <c r="J9" i="24" s="1"/>
  <c r="F9" i="23"/>
  <c r="J9" i="23" s="1"/>
  <c r="J24" i="42"/>
  <c r="F24" i="42"/>
  <c r="H48" i="30" s="1"/>
  <c r="J28" i="22"/>
  <c r="AC29" i="42"/>
  <c r="J20" i="43"/>
  <c r="J24" i="43" s="1"/>
  <c r="F24" i="43"/>
  <c r="H47" i="30" s="1"/>
  <c r="AC29" i="43"/>
  <c r="AC31" i="38"/>
  <c r="H22" i="38"/>
  <c r="F16" i="23"/>
  <c r="J324" i="26"/>
  <c r="F37" i="26" s="1"/>
  <c r="Z31" i="26" s="1"/>
  <c r="I81" i="4"/>
  <c r="DI81" i="4" s="1"/>
  <c r="J114" i="30"/>
  <c r="F141" i="30"/>
  <c r="H22" i="39"/>
  <c r="J58" i="39"/>
  <c r="J60" i="39" s="1"/>
  <c r="H60" i="39"/>
  <c r="F60" i="39"/>
  <c r="AC35" i="39" s="1"/>
  <c r="J22" i="39"/>
  <c r="J98" i="30"/>
  <c r="F125" i="30"/>
  <c r="AC30" i="38"/>
  <c r="J97" i="36"/>
  <c r="F18" i="36" s="1"/>
  <c r="H18" i="36" s="1"/>
  <c r="J79" i="36"/>
  <c r="F17" i="36" s="1"/>
  <c r="AC24" i="36" s="1"/>
  <c r="J106" i="35"/>
  <c r="F19" i="35" s="1"/>
  <c r="AC26" i="35" s="1"/>
  <c r="J15" i="24"/>
  <c r="I82" i="4"/>
  <c r="DI82" i="4" s="1"/>
  <c r="I78" i="4"/>
  <c r="AO78" i="4" s="1"/>
  <c r="H20" i="36"/>
  <c r="H21" i="36"/>
  <c r="Z29" i="25"/>
  <c r="H27" i="30"/>
  <c r="J27" i="30" s="1"/>
  <c r="H31" i="30"/>
  <c r="J102" i="37"/>
  <c r="F19" i="37" s="1"/>
  <c r="J19" i="37" s="1"/>
  <c r="J79" i="37"/>
  <c r="F17" i="37" s="1"/>
  <c r="J17" i="37" s="1"/>
  <c r="H48" i="37"/>
  <c r="AC33" i="37" s="1"/>
  <c r="H22" i="37"/>
  <c r="H26" i="37" s="1"/>
  <c r="H34" i="37"/>
  <c r="AC31" i="37" s="1"/>
  <c r="H41" i="37"/>
  <c r="AC32" i="37" s="1"/>
  <c r="H54" i="37"/>
  <c r="AC34" i="37" s="1"/>
  <c r="J94" i="37"/>
  <c r="F18" i="37" s="1"/>
  <c r="J18" i="37" s="1"/>
  <c r="F85" i="30"/>
  <c r="F86" i="30"/>
  <c r="F113" i="30" s="1"/>
  <c r="F140" i="30" s="1"/>
  <c r="H28" i="30"/>
  <c r="J28" i="30" s="1"/>
  <c r="F108" i="37"/>
  <c r="J108" i="37" s="1"/>
  <c r="J114" i="37" s="1"/>
  <c r="F20" i="37" s="1"/>
  <c r="J20" i="37" s="1"/>
  <c r="H130" i="37"/>
  <c r="F58" i="37" s="1"/>
  <c r="J58" i="37" s="1"/>
  <c r="H11" i="37"/>
  <c r="AC24" i="37"/>
  <c r="J35" i="25"/>
  <c r="J413" i="26"/>
  <c r="F47" i="26" s="1"/>
  <c r="H47" i="26" s="1"/>
  <c r="J38" i="26"/>
  <c r="J259" i="26"/>
  <c r="J147" i="26"/>
  <c r="F18" i="26" s="1"/>
  <c r="J18" i="26" s="1"/>
  <c r="J220" i="26"/>
  <c r="J421" i="26"/>
  <c r="F48" i="26" s="1"/>
  <c r="J48" i="26" s="1"/>
  <c r="J32" i="26"/>
  <c r="H32" i="26"/>
  <c r="J20" i="26"/>
  <c r="H20" i="26"/>
  <c r="J50" i="26"/>
  <c r="J306" i="26"/>
  <c r="J139" i="26"/>
  <c r="F17" i="26" s="1"/>
  <c r="J197" i="26"/>
  <c r="F24" i="26" s="1"/>
  <c r="J206" i="26"/>
  <c r="F25" i="26" s="1"/>
  <c r="L396" i="26"/>
  <c r="F43" i="26" s="1"/>
  <c r="Z37" i="26" s="1"/>
  <c r="J114" i="26"/>
  <c r="F15" i="26" s="1"/>
  <c r="J125" i="26"/>
  <c r="F16" i="26" s="1"/>
  <c r="J332" i="26"/>
  <c r="J353" i="26"/>
  <c r="F40" i="26" s="1"/>
  <c r="Z34" i="26" s="1"/>
  <c r="J361" i="26"/>
  <c r="F41" i="26" s="1"/>
  <c r="F153" i="26"/>
  <c r="J153" i="26" s="1"/>
  <c r="J159" i="26" s="1"/>
  <c r="F19" i="26" s="1"/>
  <c r="Z32" i="26"/>
  <c r="J94" i="26"/>
  <c r="Z44" i="26"/>
  <c r="F427" i="26"/>
  <c r="J427" i="26" s="1"/>
  <c r="J433" i="26" s="1"/>
  <c r="F49" i="26" s="1"/>
  <c r="F265" i="26"/>
  <c r="J265" i="26" s="1"/>
  <c r="J271" i="26" s="1"/>
  <c r="F31" i="26" s="1"/>
  <c r="J345" i="26"/>
  <c r="F39" i="26" s="1"/>
  <c r="H446" i="26"/>
  <c r="F97" i="26" s="1"/>
  <c r="H97" i="26" s="1"/>
  <c r="H185" i="26"/>
  <c r="F88" i="26" s="1"/>
  <c r="H88" i="26" s="1"/>
  <c r="J21" i="36"/>
  <c r="AC23" i="36"/>
  <c r="J16" i="36"/>
  <c r="H16" i="35"/>
  <c r="J16" i="35"/>
  <c r="J21" i="35"/>
  <c r="H21" i="35"/>
  <c r="J79" i="35"/>
  <c r="F17" i="35" s="1"/>
  <c r="J97" i="35"/>
  <c r="F18" i="35" s="1"/>
  <c r="AC25" i="35" s="1"/>
  <c r="J106" i="36"/>
  <c r="F19" i="36" s="1"/>
  <c r="J19" i="36" s="1"/>
  <c r="J325" i="20"/>
  <c r="F36" i="20" s="1"/>
  <c r="J115" i="24"/>
  <c r="J217" i="20"/>
  <c r="F26" i="20" s="1"/>
  <c r="J225" i="20"/>
  <c r="J121" i="23"/>
  <c r="F19" i="23" s="1"/>
  <c r="H19" i="23" s="1"/>
  <c r="J318" i="22"/>
  <c r="Z32" i="22" s="1"/>
  <c r="J213" i="21"/>
  <c r="F112" i="36"/>
  <c r="J112" i="36" s="1"/>
  <c r="J118" i="36" s="1"/>
  <c r="F20" i="36" s="1"/>
  <c r="J20" i="36" s="1"/>
  <c r="H134" i="36"/>
  <c r="F112" i="35"/>
  <c r="J112" i="35" s="1"/>
  <c r="J118" i="35" s="1"/>
  <c r="F20" i="35" s="1"/>
  <c r="AC27" i="35" s="1"/>
  <c r="J9" i="35"/>
  <c r="H134" i="35"/>
  <c r="F58" i="35" s="1"/>
  <c r="J92" i="23"/>
  <c r="J87" i="23"/>
  <c r="J88" i="23"/>
  <c r="J112" i="23"/>
  <c r="J111" i="23"/>
  <c r="J109" i="23"/>
  <c r="J108" i="23"/>
  <c r="J105" i="23"/>
  <c r="J104" i="23"/>
  <c r="J102" i="23"/>
  <c r="J101" i="23"/>
  <c r="J100" i="23"/>
  <c r="J104" i="24"/>
  <c r="H34" i="25"/>
  <c r="D150" i="24"/>
  <c r="J155" i="24"/>
  <c r="J154" i="24"/>
  <c r="J153" i="24"/>
  <c r="J152" i="24"/>
  <c r="J151" i="24"/>
  <c r="J149" i="24"/>
  <c r="J143" i="24"/>
  <c r="J142" i="24"/>
  <c r="J141" i="24"/>
  <c r="J135" i="24"/>
  <c r="J134" i="24"/>
  <c r="J133" i="24"/>
  <c r="J125" i="24"/>
  <c r="J124" i="24"/>
  <c r="J123" i="24"/>
  <c r="J122" i="24"/>
  <c r="J121" i="24"/>
  <c r="J106" i="24"/>
  <c r="J105" i="24"/>
  <c r="J103" i="24"/>
  <c r="J100" i="24"/>
  <c r="J99" i="24"/>
  <c r="J98" i="24"/>
  <c r="J97" i="24"/>
  <c r="J96" i="24"/>
  <c r="J84" i="24"/>
  <c r="J83" i="24"/>
  <c r="J82" i="24"/>
  <c r="J81" i="24"/>
  <c r="S18" i="24"/>
  <c r="L277" i="21"/>
  <c r="J222" i="21"/>
  <c r="J221" i="21"/>
  <c r="L324" i="21"/>
  <c r="H324" i="21"/>
  <c r="J265" i="20"/>
  <c r="J264" i="20"/>
  <c r="J263" i="20"/>
  <c r="J262" i="20"/>
  <c r="J261" i="20"/>
  <c r="J259" i="20"/>
  <c r="J195" i="21"/>
  <c r="J196" i="21"/>
  <c r="J197" i="21"/>
  <c r="L272" i="21"/>
  <c r="L273" i="21"/>
  <c r="H272" i="21"/>
  <c r="H273" i="21"/>
  <c r="J328" i="21"/>
  <c r="L328" i="21" s="1"/>
  <c r="F38" i="21" s="1"/>
  <c r="F328" i="21"/>
  <c r="D308" i="21" s="1"/>
  <c r="L327" i="21"/>
  <c r="H327" i="21"/>
  <c r="L326" i="21"/>
  <c r="H326" i="21"/>
  <c r="L325" i="21"/>
  <c r="H325" i="21"/>
  <c r="L323" i="21"/>
  <c r="H323" i="21"/>
  <c r="J313" i="21"/>
  <c r="J312" i="21"/>
  <c r="J311" i="21"/>
  <c r="J310" i="21"/>
  <c r="J309" i="21"/>
  <c r="J307" i="21"/>
  <c r="J301" i="21"/>
  <c r="J300" i="21"/>
  <c r="J299" i="21"/>
  <c r="J288" i="21"/>
  <c r="J287" i="21"/>
  <c r="J286" i="21"/>
  <c r="H277" i="21"/>
  <c r="F91" i="21" s="1"/>
  <c r="H91" i="21" s="1"/>
  <c r="L276" i="21"/>
  <c r="H276" i="21"/>
  <c r="L275" i="21"/>
  <c r="H275" i="21"/>
  <c r="L274" i="21"/>
  <c r="H274" i="21"/>
  <c r="L271" i="21"/>
  <c r="H271" i="21"/>
  <c r="L270" i="21"/>
  <c r="H270" i="21"/>
  <c r="L269" i="21"/>
  <c r="H269" i="21"/>
  <c r="L268" i="21"/>
  <c r="H268" i="21"/>
  <c r="L267" i="21"/>
  <c r="H267" i="21"/>
  <c r="L265" i="21"/>
  <c r="H265" i="21"/>
  <c r="L264" i="21"/>
  <c r="H264" i="21"/>
  <c r="L263" i="21"/>
  <c r="H263" i="21"/>
  <c r="J253" i="21"/>
  <c r="J252" i="21"/>
  <c r="J251" i="21"/>
  <c r="J250" i="21"/>
  <c r="J249" i="21"/>
  <c r="J247" i="21"/>
  <c r="J241" i="21"/>
  <c r="J240" i="21"/>
  <c r="J239" i="21"/>
  <c r="J233" i="21"/>
  <c r="J232" i="21"/>
  <c r="J231" i="21"/>
  <c r="J225" i="21"/>
  <c r="J223" i="21"/>
  <c r="J220" i="21"/>
  <c r="J219" i="21"/>
  <c r="J204" i="21"/>
  <c r="J203" i="21"/>
  <c r="J202" i="21"/>
  <c r="J199" i="21"/>
  <c r="J198" i="21"/>
  <c r="J188" i="21"/>
  <c r="J187" i="21"/>
  <c r="J186" i="21"/>
  <c r="J184" i="21"/>
  <c r="L178" i="21"/>
  <c r="F20" i="21" s="1"/>
  <c r="J20" i="21" s="1"/>
  <c r="F178" i="21"/>
  <c r="H178" i="21" s="1"/>
  <c r="F88" i="21" s="1"/>
  <c r="L177" i="21"/>
  <c r="H177" i="21"/>
  <c r="L176" i="21"/>
  <c r="H176" i="21"/>
  <c r="L175" i="21"/>
  <c r="H175" i="21"/>
  <c r="L174" i="21"/>
  <c r="H174" i="21"/>
  <c r="L173" i="21"/>
  <c r="H173" i="21"/>
  <c r="L172" i="21"/>
  <c r="H172" i="21"/>
  <c r="L171" i="21"/>
  <c r="H171" i="21"/>
  <c r="L170" i="21"/>
  <c r="H170" i="21"/>
  <c r="L169" i="21"/>
  <c r="H169" i="21"/>
  <c r="L168" i="21"/>
  <c r="H168" i="21"/>
  <c r="L167" i="21"/>
  <c r="H167" i="21"/>
  <c r="L166" i="21"/>
  <c r="H166" i="21"/>
  <c r="L165" i="21"/>
  <c r="H165" i="21"/>
  <c r="L164" i="21"/>
  <c r="H164" i="21"/>
  <c r="J153" i="21"/>
  <c r="J152" i="21"/>
  <c r="J151" i="21"/>
  <c r="J150" i="21"/>
  <c r="J149" i="21"/>
  <c r="J147" i="21"/>
  <c r="J141" i="21"/>
  <c r="J140" i="21"/>
  <c r="J139" i="21"/>
  <c r="J133" i="21"/>
  <c r="J132" i="21"/>
  <c r="J131" i="21"/>
  <c r="J128" i="21"/>
  <c r="J127" i="21"/>
  <c r="J126" i="21"/>
  <c r="J119" i="21"/>
  <c r="J118" i="21"/>
  <c r="J117" i="21"/>
  <c r="J116" i="21"/>
  <c r="J109" i="21"/>
  <c r="J107" i="21"/>
  <c r="J106" i="21"/>
  <c r="J105" i="21"/>
  <c r="S18" i="21"/>
  <c r="O19" i="21" s="1"/>
  <c r="J159" i="23"/>
  <c r="J158" i="23"/>
  <c r="J157" i="23"/>
  <c r="J154" i="23"/>
  <c r="J149" i="23"/>
  <c r="J148" i="23"/>
  <c r="J147" i="23"/>
  <c r="J141" i="23"/>
  <c r="J140" i="23"/>
  <c r="J139" i="23"/>
  <c r="J133" i="23"/>
  <c r="J131" i="23"/>
  <c r="J130" i="23"/>
  <c r="J129" i="23"/>
  <c r="J128" i="23"/>
  <c r="J127" i="23"/>
  <c r="J93" i="23"/>
  <c r="J91" i="23"/>
  <c r="J86" i="23"/>
  <c r="J85" i="23"/>
  <c r="J84" i="23"/>
  <c r="J83" i="23"/>
  <c r="AB33" i="23"/>
  <c r="AB32" i="23"/>
  <c r="AB31" i="23"/>
  <c r="AB30" i="23"/>
  <c r="AB29" i="23"/>
  <c r="AB27" i="23"/>
  <c r="AB26" i="23"/>
  <c r="S18" i="23"/>
  <c r="O20" i="23" s="1"/>
  <c r="H10" i="28"/>
  <c r="H9" i="28"/>
  <c r="F9" i="28" s="1"/>
  <c r="J9" i="28" s="1"/>
  <c r="H25" i="28"/>
  <c r="P12" i="27"/>
  <c r="F9" i="34"/>
  <c r="J10" i="33"/>
  <c r="F9" i="32"/>
  <c r="J9" i="32" s="1"/>
  <c r="J9" i="22"/>
  <c r="F20" i="34"/>
  <c r="AC29" i="34" s="1"/>
  <c r="H24" i="28"/>
  <c r="H58" i="28"/>
  <c r="H53" i="28"/>
  <c r="H52" i="28"/>
  <c r="H51" i="28"/>
  <c r="H47" i="28"/>
  <c r="H46" i="28"/>
  <c r="H45" i="28"/>
  <c r="H44" i="28"/>
  <c r="H40" i="28"/>
  <c r="H39" i="28"/>
  <c r="H38" i="28"/>
  <c r="H37" i="28"/>
  <c r="H33" i="28"/>
  <c r="H32" i="28"/>
  <c r="H31" i="28"/>
  <c r="H30" i="28"/>
  <c r="H21" i="28"/>
  <c r="H20" i="28"/>
  <c r="H19" i="28"/>
  <c r="H18" i="28"/>
  <c r="H17" i="28"/>
  <c r="H16" i="28"/>
  <c r="AC27" i="36" l="1"/>
  <c r="H20" i="35"/>
  <c r="J20" i="35"/>
  <c r="BM78" i="4"/>
  <c r="F27" i="20"/>
  <c r="F46" i="20" s="1"/>
  <c r="CK78" i="4"/>
  <c r="DI78" i="4"/>
  <c r="AO82" i="4"/>
  <c r="CK82" i="4"/>
  <c r="BM82" i="4"/>
  <c r="BX81" i="4"/>
  <c r="CK81" i="4"/>
  <c r="BM81" i="4"/>
  <c r="AO81" i="4"/>
  <c r="H19" i="35"/>
  <c r="H16" i="23"/>
  <c r="AC25" i="23"/>
  <c r="F26" i="21"/>
  <c r="F45" i="21" s="1"/>
  <c r="Z30" i="21" s="1"/>
  <c r="AY82" i="4"/>
  <c r="BJ81" i="4"/>
  <c r="BA81" i="4"/>
  <c r="BS81" i="4"/>
  <c r="AP81" i="4"/>
  <c r="BF82" i="4"/>
  <c r="AK82" i="4"/>
  <c r="AM82" i="4"/>
  <c r="BO82" i="4"/>
  <c r="CC82" i="4"/>
  <c r="BG82" i="4"/>
  <c r="AS78" i="4"/>
  <c r="CH78" i="4"/>
  <c r="DN81" i="4"/>
  <c r="DV81" i="4"/>
  <c r="CQ81" i="4"/>
  <c r="CY81" i="4"/>
  <c r="DE81" i="4"/>
  <c r="DO81" i="4"/>
  <c r="DW81" i="4"/>
  <c r="CI81" i="4"/>
  <c r="CR81" i="4"/>
  <c r="CZ81" i="4"/>
  <c r="DG81" i="4"/>
  <c r="DP81" i="4"/>
  <c r="DX81" i="4"/>
  <c r="CJ81" i="4"/>
  <c r="CS81" i="4"/>
  <c r="DA81" i="4"/>
  <c r="CH81" i="4"/>
  <c r="DH81" i="4"/>
  <c r="DQ81" i="4"/>
  <c r="DY81" i="4"/>
  <c r="CL81" i="4"/>
  <c r="CT81" i="4"/>
  <c r="DB81" i="4"/>
  <c r="DJ81" i="4"/>
  <c r="DR81" i="4"/>
  <c r="DZ81" i="4"/>
  <c r="CM81" i="4"/>
  <c r="CU81" i="4"/>
  <c r="DC81" i="4"/>
  <c r="DK81" i="4"/>
  <c r="DS81" i="4"/>
  <c r="EA81" i="4"/>
  <c r="CN81" i="4"/>
  <c r="CV81" i="4"/>
  <c r="DD81" i="4"/>
  <c r="DL81" i="4"/>
  <c r="DT81" i="4"/>
  <c r="EB81" i="4"/>
  <c r="CO81" i="4"/>
  <c r="CW81" i="4"/>
  <c r="CG81" i="4"/>
  <c r="DM81" i="4"/>
  <c r="DU81" i="4"/>
  <c r="CP81" i="4"/>
  <c r="CX81" i="4"/>
  <c r="BB81" i="4"/>
  <c r="AS81" i="4"/>
  <c r="BG81" i="4"/>
  <c r="BY81" i="4"/>
  <c r="BP81" i="4"/>
  <c r="BJ82" i="4"/>
  <c r="BE82" i="4"/>
  <c r="CF82" i="4"/>
  <c r="BB82" i="4"/>
  <c r="BU82" i="4"/>
  <c r="DG82" i="4"/>
  <c r="DP82" i="4"/>
  <c r="DX82" i="4"/>
  <c r="CL82" i="4"/>
  <c r="CT82" i="4"/>
  <c r="DB82" i="4"/>
  <c r="DH82" i="4"/>
  <c r="DQ82" i="4"/>
  <c r="DY82" i="4"/>
  <c r="CM82" i="4"/>
  <c r="CU82" i="4"/>
  <c r="DC82" i="4"/>
  <c r="DJ82" i="4"/>
  <c r="DR82" i="4"/>
  <c r="DZ82" i="4"/>
  <c r="CN82" i="4"/>
  <c r="CV82" i="4"/>
  <c r="DD82" i="4"/>
  <c r="DK82" i="4"/>
  <c r="DS82" i="4"/>
  <c r="EA82" i="4"/>
  <c r="CO82" i="4"/>
  <c r="CW82" i="4"/>
  <c r="CH82" i="4"/>
  <c r="DL82" i="4"/>
  <c r="DT82" i="4"/>
  <c r="EB82" i="4"/>
  <c r="CP82" i="4"/>
  <c r="CX82" i="4"/>
  <c r="DM82" i="4"/>
  <c r="DU82" i="4"/>
  <c r="CQ82" i="4"/>
  <c r="CY82" i="4"/>
  <c r="DN82" i="4"/>
  <c r="DV82" i="4"/>
  <c r="CI82" i="4"/>
  <c r="CR82" i="4"/>
  <c r="CZ82" i="4"/>
  <c r="CG82" i="4"/>
  <c r="DE82" i="4"/>
  <c r="DO82" i="4"/>
  <c r="CJ82" i="4"/>
  <c r="DW82" i="4"/>
  <c r="CS82" i="4"/>
  <c r="DA82" i="4"/>
  <c r="BN81" i="4"/>
  <c r="AT81" i="4"/>
  <c r="CB81" i="4"/>
  <c r="AY81" i="4"/>
  <c r="BQ81" i="4"/>
  <c r="BD81" i="4"/>
  <c r="AX82" i="4"/>
  <c r="AW82" i="4"/>
  <c r="BX82" i="4"/>
  <c r="AT82" i="4"/>
  <c r="BL82" i="4"/>
  <c r="AQ82" i="4"/>
  <c r="BC81" i="4"/>
  <c r="BK81" i="4"/>
  <c r="BT81" i="4"/>
  <c r="AQ81" i="4"/>
  <c r="BE81" i="4"/>
  <c r="AV81" i="4"/>
  <c r="AP82" i="4"/>
  <c r="AN82" i="4"/>
  <c r="BP82" i="4"/>
  <c r="CD82" i="4"/>
  <c r="BH82" i="4"/>
  <c r="BI82" i="4"/>
  <c r="AU81" i="4"/>
  <c r="CC81" i="4"/>
  <c r="BH81" i="4"/>
  <c r="BZ81" i="4"/>
  <c r="AW81" i="4"/>
  <c r="AM81" i="4"/>
  <c r="BK82" i="4"/>
  <c r="BY82" i="4"/>
  <c r="BC82" i="4"/>
  <c r="BV82" i="4"/>
  <c r="AZ82" i="4"/>
  <c r="CA82" i="4"/>
  <c r="AL81" i="4"/>
  <c r="BU81" i="4"/>
  <c r="AZ81" i="4"/>
  <c r="BR81" i="4"/>
  <c r="AN81" i="4"/>
  <c r="CE81" i="4"/>
  <c r="AL82" i="4"/>
  <c r="BQ82" i="4"/>
  <c r="AU82" i="4"/>
  <c r="BN82" i="4"/>
  <c r="AR82" i="4"/>
  <c r="BS82" i="4"/>
  <c r="CD81" i="4"/>
  <c r="BL81" i="4"/>
  <c r="AR81" i="4"/>
  <c r="BF81" i="4"/>
  <c r="BI81" i="4"/>
  <c r="BW81" i="4"/>
  <c r="BZ82" i="4"/>
  <c r="BD82" i="4"/>
  <c r="CE82" i="4"/>
  <c r="BA82" i="4"/>
  <c r="CB82" i="4"/>
  <c r="BJ78" i="4"/>
  <c r="BV81" i="4"/>
  <c r="AK81" i="4"/>
  <c r="CA81" i="4"/>
  <c r="AX81" i="4"/>
  <c r="CF81" i="4"/>
  <c r="BO81" i="4"/>
  <c r="BR82" i="4"/>
  <c r="AV82" i="4"/>
  <c r="BW82" i="4"/>
  <c r="AS82" i="4"/>
  <c r="BT82" i="4"/>
  <c r="AL78" i="4"/>
  <c r="AR78" i="4"/>
  <c r="BR78" i="4"/>
  <c r="BQ78" i="4"/>
  <c r="AU78" i="4"/>
  <c r="BS78" i="4"/>
  <c r="AQ78" i="4"/>
  <c r="BO78" i="4"/>
  <c r="AT78" i="4"/>
  <c r="BP78" i="4"/>
  <c r="J16" i="23"/>
  <c r="F367" i="26"/>
  <c r="J367" i="26" s="1"/>
  <c r="J373" i="26" s="1"/>
  <c r="F42" i="26" s="1"/>
  <c r="Z36" i="26" s="1"/>
  <c r="DZ78" i="4"/>
  <c r="DL78" i="4"/>
  <c r="CO78" i="4"/>
  <c r="DM78" i="4"/>
  <c r="CP78" i="4"/>
  <c r="DN78" i="4"/>
  <c r="CM78" i="4"/>
  <c r="CQ78" i="4"/>
  <c r="DK78" i="4"/>
  <c r="DO78" i="4"/>
  <c r="CN78" i="4"/>
  <c r="O19" i="24"/>
  <c r="J127" i="24"/>
  <c r="J128" i="24" s="1"/>
  <c r="F19" i="24" s="1"/>
  <c r="H19" i="24" s="1"/>
  <c r="H17" i="36"/>
  <c r="DB78" i="4"/>
  <c r="DJ78" i="4"/>
  <c r="BL78" i="4"/>
  <c r="CL78" i="4"/>
  <c r="CD78" i="4"/>
  <c r="BN78" i="4"/>
  <c r="BF78" i="4"/>
  <c r="AP78" i="4"/>
  <c r="J18" i="36"/>
  <c r="AC25" i="36"/>
  <c r="J19" i="35"/>
  <c r="BW78" i="4"/>
  <c r="BI78" i="4"/>
  <c r="AV78" i="4"/>
  <c r="DA78" i="4"/>
  <c r="F22" i="36"/>
  <c r="CV78" i="4"/>
  <c r="J47" i="26"/>
  <c r="J17" i="36"/>
  <c r="AN78" i="4"/>
  <c r="CI78" i="4"/>
  <c r="H19" i="36"/>
  <c r="AC26" i="36"/>
  <c r="F36" i="26"/>
  <c r="BG78" i="4"/>
  <c r="DH78" i="4"/>
  <c r="AW78" i="4"/>
  <c r="BC78" i="4"/>
  <c r="CY78" i="4"/>
  <c r="J90" i="24"/>
  <c r="Z30" i="24"/>
  <c r="AY78" i="4"/>
  <c r="AX78" i="4"/>
  <c r="CS78" i="4"/>
  <c r="DV78" i="4"/>
  <c r="CA78" i="4"/>
  <c r="BX78" i="4"/>
  <c r="AM78" i="4"/>
  <c r="BH78" i="4"/>
  <c r="CR78" i="4"/>
  <c r="DR78" i="4"/>
  <c r="DD78" i="4"/>
  <c r="DC78" i="4"/>
  <c r="BD78" i="4"/>
  <c r="AK78" i="4"/>
  <c r="BU78" i="4"/>
  <c r="BV78" i="4"/>
  <c r="CW78" i="4"/>
  <c r="DW78" i="4"/>
  <c r="EA78" i="4"/>
  <c r="CX78" i="4"/>
  <c r="DU78" i="4"/>
  <c r="AZ78" i="4"/>
  <c r="BT78" i="4"/>
  <c r="BA78" i="4"/>
  <c r="CC78" i="4"/>
  <c r="BK78" i="4"/>
  <c r="CE78" i="4"/>
  <c r="CZ78" i="4"/>
  <c r="DS78" i="4"/>
  <c r="CU78" i="4"/>
  <c r="DT78" i="4"/>
  <c r="DY78" i="4"/>
  <c r="DE78" i="4"/>
  <c r="CF78" i="4"/>
  <c r="CB78" i="4"/>
  <c r="BE78" i="4"/>
  <c r="BY78" i="4"/>
  <c r="BB78" i="4"/>
  <c r="BZ78" i="4"/>
  <c r="CG78" i="4"/>
  <c r="DP78" i="4"/>
  <c r="EB78" i="4"/>
  <c r="DX78" i="4"/>
  <c r="CJ78" i="4"/>
  <c r="DG78" i="4"/>
  <c r="CT78" i="4"/>
  <c r="DQ78" i="4"/>
  <c r="J58" i="36"/>
  <c r="J60" i="36" s="1"/>
  <c r="H58" i="36"/>
  <c r="H60" i="36" s="1"/>
  <c r="H113" i="30"/>
  <c r="J113" i="30" s="1"/>
  <c r="F167" i="30"/>
  <c r="J19" i="23"/>
  <c r="J22" i="37"/>
  <c r="F22" i="37"/>
  <c r="H55" i="37"/>
  <c r="H64" i="37" s="1"/>
  <c r="F112" i="30"/>
  <c r="F60" i="37"/>
  <c r="H116" i="30" s="1"/>
  <c r="J60" i="37"/>
  <c r="F30" i="26"/>
  <c r="J30" i="26" s="1"/>
  <c r="F26" i="26"/>
  <c r="H26" i="26" s="1"/>
  <c r="F91" i="26"/>
  <c r="H91" i="26" s="1"/>
  <c r="F62" i="23"/>
  <c r="H105" i="30" s="1"/>
  <c r="AC33" i="23"/>
  <c r="J24" i="23"/>
  <c r="AJ82" i="4"/>
  <c r="AJ81" i="4"/>
  <c r="F22" i="35"/>
  <c r="AC24" i="35"/>
  <c r="H18" i="26"/>
  <c r="H48" i="26"/>
  <c r="H43" i="26"/>
  <c r="J43" i="26"/>
  <c r="H39" i="26"/>
  <c r="J39" i="26"/>
  <c r="J41" i="26"/>
  <c r="H41" i="26"/>
  <c r="H16" i="26"/>
  <c r="J16" i="26"/>
  <c r="J25" i="26"/>
  <c r="H25" i="26"/>
  <c r="J49" i="26"/>
  <c r="H49" i="26"/>
  <c r="J37" i="26"/>
  <c r="H37" i="26"/>
  <c r="J31" i="26"/>
  <c r="H31" i="26"/>
  <c r="H19" i="26"/>
  <c r="J19" i="26"/>
  <c r="J40" i="26"/>
  <c r="H40" i="26"/>
  <c r="J15" i="26"/>
  <c r="H15" i="26"/>
  <c r="J24" i="26"/>
  <c r="H24" i="26"/>
  <c r="Z35" i="26"/>
  <c r="J17" i="26"/>
  <c r="H17" i="26"/>
  <c r="J88" i="26"/>
  <c r="F51" i="26"/>
  <c r="J97" i="26"/>
  <c r="F21" i="26"/>
  <c r="Z33" i="26"/>
  <c r="J58" i="35"/>
  <c r="J60" i="35" s="1"/>
  <c r="H58" i="35"/>
  <c r="H60" i="35" s="1"/>
  <c r="H18" i="35"/>
  <c r="J18" i="35"/>
  <c r="H17" i="35"/>
  <c r="J17" i="35"/>
  <c r="J234" i="21"/>
  <c r="F28" i="21" s="1"/>
  <c r="AC28" i="23"/>
  <c r="J136" i="24"/>
  <c r="J23" i="24"/>
  <c r="J9" i="25"/>
  <c r="H38" i="22"/>
  <c r="J38" i="22"/>
  <c r="F60" i="36"/>
  <c r="AC35" i="36" s="1"/>
  <c r="F60" i="35"/>
  <c r="AC35" i="35" s="1"/>
  <c r="J113" i="23"/>
  <c r="J150" i="23"/>
  <c r="J94" i="23"/>
  <c r="F17" i="23" s="1"/>
  <c r="H17" i="23" s="1"/>
  <c r="J142" i="23"/>
  <c r="D155" i="23"/>
  <c r="F150" i="24"/>
  <c r="J150" i="24" s="1"/>
  <c r="J156" i="24" s="1"/>
  <c r="F22" i="24" s="1"/>
  <c r="H22" i="24" s="1"/>
  <c r="D151" i="24"/>
  <c r="F61" i="24"/>
  <c r="J144" i="24"/>
  <c r="J21" i="24" s="1"/>
  <c r="J107" i="24"/>
  <c r="J17" i="24" s="1"/>
  <c r="H88" i="21"/>
  <c r="J88" i="21"/>
  <c r="J38" i="21"/>
  <c r="H38" i="21"/>
  <c r="D148" i="21"/>
  <c r="F148" i="21" s="1"/>
  <c r="J148" i="21" s="1"/>
  <c r="J154" i="21" s="1"/>
  <c r="H20" i="21"/>
  <c r="J91" i="21"/>
  <c r="D248" i="21"/>
  <c r="D249" i="21" s="1"/>
  <c r="J242" i="21"/>
  <c r="F29" i="21" s="1"/>
  <c r="J111" i="21"/>
  <c r="F15" i="21" s="1"/>
  <c r="J120" i="21"/>
  <c r="F16" i="21" s="1"/>
  <c r="J134" i="21"/>
  <c r="F17" i="21" s="1"/>
  <c r="J302" i="21"/>
  <c r="F36" i="21" s="1"/>
  <c r="H36" i="21" s="1"/>
  <c r="F31" i="21"/>
  <c r="F50" i="21" s="1"/>
  <c r="J294" i="21"/>
  <c r="F35" i="21" s="1"/>
  <c r="H35" i="21" s="1"/>
  <c r="J205" i="21"/>
  <c r="F25" i="21" s="1"/>
  <c r="J142" i="21"/>
  <c r="F18" i="21" s="1"/>
  <c r="J189" i="21"/>
  <c r="F24" i="21" s="1"/>
  <c r="J226" i="21"/>
  <c r="F308" i="21"/>
  <c r="J308" i="21" s="1"/>
  <c r="J314" i="21" s="1"/>
  <c r="F37" i="21" s="1"/>
  <c r="H37" i="21" s="1"/>
  <c r="D309" i="21"/>
  <c r="H328" i="21"/>
  <c r="J134" i="23"/>
  <c r="F20" i="23" s="1"/>
  <c r="H20" i="23" s="1"/>
  <c r="J34" i="25"/>
  <c r="F42" i="30"/>
  <c r="F69" i="30" s="1"/>
  <c r="F41" i="30"/>
  <c r="F68" i="30" s="1"/>
  <c r="F95" i="30" s="1"/>
  <c r="F40" i="30"/>
  <c r="F67" i="30" s="1"/>
  <c r="F94" i="30" s="1"/>
  <c r="F121" i="30" s="1"/>
  <c r="F11" i="30"/>
  <c r="F10" i="30"/>
  <c r="F9" i="30"/>
  <c r="F31" i="30"/>
  <c r="F30" i="30"/>
  <c r="F26" i="30"/>
  <c r="H103" i="29"/>
  <c r="J103" i="29" s="1"/>
  <c r="J89" i="29"/>
  <c r="J90" i="29"/>
  <c r="J134" i="29"/>
  <c r="L134" i="29" s="1"/>
  <c r="F21" i="29" s="1"/>
  <c r="F134" i="29"/>
  <c r="D112" i="29" s="1"/>
  <c r="D113" i="29" s="1"/>
  <c r="L133" i="29"/>
  <c r="H133" i="29"/>
  <c r="L132" i="29"/>
  <c r="H132" i="29"/>
  <c r="L131" i="29"/>
  <c r="H131" i="29"/>
  <c r="L130" i="29"/>
  <c r="H130" i="29"/>
  <c r="L129" i="29"/>
  <c r="H129" i="29"/>
  <c r="L128" i="29"/>
  <c r="H128" i="29"/>
  <c r="J117" i="29"/>
  <c r="J116" i="29"/>
  <c r="J115" i="29"/>
  <c r="J114" i="29"/>
  <c r="J113" i="29"/>
  <c r="J111" i="29"/>
  <c r="J105" i="29"/>
  <c r="J104" i="29"/>
  <c r="J102" i="29"/>
  <c r="J96" i="29"/>
  <c r="J95" i="29"/>
  <c r="J94" i="29"/>
  <c r="J91" i="29"/>
  <c r="J88" i="29"/>
  <c r="J87" i="29"/>
  <c r="J78" i="29"/>
  <c r="J77" i="29"/>
  <c r="J72" i="29"/>
  <c r="J71" i="29"/>
  <c r="F16" i="29" s="1"/>
  <c r="L125" i="28"/>
  <c r="L126" i="28"/>
  <c r="L127" i="28"/>
  <c r="L128" i="28"/>
  <c r="L129" i="28"/>
  <c r="L124" i="28"/>
  <c r="H125" i="28"/>
  <c r="H126" i="28"/>
  <c r="H127" i="28"/>
  <c r="H128" i="28"/>
  <c r="H129" i="28"/>
  <c r="H124" i="28"/>
  <c r="J71" i="28"/>
  <c r="F16" i="28" s="1"/>
  <c r="J130" i="28"/>
  <c r="L130" i="28" s="1"/>
  <c r="F21" i="28" s="1"/>
  <c r="F130" i="28"/>
  <c r="H130" i="28" s="1"/>
  <c r="F58" i="28" s="1"/>
  <c r="J113" i="28"/>
  <c r="J112" i="28"/>
  <c r="J111" i="28"/>
  <c r="J110" i="28"/>
  <c r="J109" i="28"/>
  <c r="J107" i="28"/>
  <c r="J101" i="28"/>
  <c r="J100" i="28"/>
  <c r="J99" i="28"/>
  <c r="J93" i="28"/>
  <c r="J92" i="28"/>
  <c r="J91" i="28"/>
  <c r="J88" i="28"/>
  <c r="J87" i="28"/>
  <c r="J86" i="28"/>
  <c r="J78" i="28"/>
  <c r="J77" i="28"/>
  <c r="J72" i="28"/>
  <c r="AB28" i="28"/>
  <c r="AB27" i="28"/>
  <c r="AB26" i="28"/>
  <c r="AB25" i="28"/>
  <c r="AB24" i="28"/>
  <c r="J311" i="25"/>
  <c r="F121" i="33"/>
  <c r="J121" i="33" s="1"/>
  <c r="J303" i="25"/>
  <c r="J397" i="25"/>
  <c r="L397" i="25" s="1"/>
  <c r="F47" i="25" s="1"/>
  <c r="F397" i="25"/>
  <c r="D378" i="25" s="1"/>
  <c r="L396" i="25"/>
  <c r="H396" i="25"/>
  <c r="L395" i="25"/>
  <c r="H395" i="25"/>
  <c r="L394" i="25"/>
  <c r="H394" i="25"/>
  <c r="L393" i="25"/>
  <c r="H393" i="25"/>
  <c r="J383" i="25"/>
  <c r="J382" i="25"/>
  <c r="J381" i="25"/>
  <c r="J380" i="25"/>
  <c r="J379" i="25"/>
  <c r="J377" i="25"/>
  <c r="J371" i="25"/>
  <c r="J370" i="25"/>
  <c r="J369" i="25"/>
  <c r="J358" i="25"/>
  <c r="J357" i="25"/>
  <c r="J356" i="25"/>
  <c r="J347" i="25"/>
  <c r="L347" i="25" s="1"/>
  <c r="F40" i="25" s="1"/>
  <c r="Z34" i="25" s="1"/>
  <c r="H347" i="25"/>
  <c r="F91" i="25" s="1"/>
  <c r="H91" i="25" s="1"/>
  <c r="L346" i="25"/>
  <c r="H346" i="25"/>
  <c r="L345" i="25"/>
  <c r="H345" i="25"/>
  <c r="L344" i="25"/>
  <c r="H344" i="25"/>
  <c r="L343" i="25"/>
  <c r="H343" i="25"/>
  <c r="L342" i="25"/>
  <c r="H342" i="25"/>
  <c r="L341" i="25"/>
  <c r="H341" i="25"/>
  <c r="L340" i="25"/>
  <c r="H340" i="25"/>
  <c r="L339" i="25"/>
  <c r="H339" i="25"/>
  <c r="L337" i="25"/>
  <c r="H337" i="25"/>
  <c r="L336" i="25"/>
  <c r="H336" i="25"/>
  <c r="L335" i="25"/>
  <c r="H335" i="25"/>
  <c r="J325" i="25"/>
  <c r="J324" i="25"/>
  <c r="J323" i="25"/>
  <c r="J322" i="25"/>
  <c r="J321" i="25"/>
  <c r="J319" i="25"/>
  <c r="J313" i="25"/>
  <c r="J312" i="25"/>
  <c r="J305" i="25"/>
  <c r="J304" i="25"/>
  <c r="J297" i="25"/>
  <c r="J295" i="25"/>
  <c r="J294" i="25"/>
  <c r="J293" i="25"/>
  <c r="J292" i="25"/>
  <c r="J291" i="25"/>
  <c r="J276" i="25"/>
  <c r="J275" i="25"/>
  <c r="J274" i="25"/>
  <c r="J271" i="25"/>
  <c r="J270" i="25"/>
  <c r="J269" i="25"/>
  <c r="J262" i="25"/>
  <c r="J261" i="25"/>
  <c r="J260" i="25"/>
  <c r="J259" i="25"/>
  <c r="J253" i="25"/>
  <c r="L253" i="25" s="1"/>
  <c r="F29" i="25" s="1"/>
  <c r="H29" i="25" s="1"/>
  <c r="F253" i="25"/>
  <c r="D228" i="25" s="1"/>
  <c r="L252" i="25"/>
  <c r="H252" i="25"/>
  <c r="L251" i="25"/>
  <c r="H251" i="25"/>
  <c r="L250" i="25"/>
  <c r="H250" i="25"/>
  <c r="L249" i="25"/>
  <c r="H249" i="25"/>
  <c r="L248" i="25"/>
  <c r="H248" i="25"/>
  <c r="L247" i="25"/>
  <c r="H247" i="25"/>
  <c r="L246" i="25"/>
  <c r="H246" i="25"/>
  <c r="L245" i="25"/>
  <c r="H245" i="25"/>
  <c r="L244" i="25"/>
  <c r="H244" i="25"/>
  <c r="L243" i="25"/>
  <c r="H243" i="25"/>
  <c r="J233" i="25"/>
  <c r="J232" i="25"/>
  <c r="J231" i="25"/>
  <c r="J230" i="25"/>
  <c r="J229" i="25"/>
  <c r="J227" i="25"/>
  <c r="J221" i="25"/>
  <c r="J220" i="25"/>
  <c r="J219" i="25"/>
  <c r="J213" i="25"/>
  <c r="J212" i="25"/>
  <c r="J211" i="25"/>
  <c r="J208" i="25"/>
  <c r="J207" i="25"/>
  <c r="J206" i="25"/>
  <c r="J199" i="25"/>
  <c r="J198" i="25"/>
  <c r="J197" i="25"/>
  <c r="J196" i="25"/>
  <c r="J189" i="25"/>
  <c r="J187" i="25"/>
  <c r="J186" i="25"/>
  <c r="J185" i="25"/>
  <c r="J179" i="25"/>
  <c r="L179" i="25" s="1"/>
  <c r="F20" i="25" s="1"/>
  <c r="J20" i="25" s="1"/>
  <c r="F179" i="25"/>
  <c r="H179" i="25" s="1"/>
  <c r="F85" i="25" s="1"/>
  <c r="H85" i="25" s="1"/>
  <c r="L178" i="25"/>
  <c r="H178" i="25"/>
  <c r="L177" i="25"/>
  <c r="H177" i="25"/>
  <c r="L176" i="25"/>
  <c r="H176" i="25"/>
  <c r="L175" i="25"/>
  <c r="H175" i="25"/>
  <c r="L174" i="25"/>
  <c r="H174" i="25"/>
  <c r="L173" i="25"/>
  <c r="H173" i="25"/>
  <c r="L172" i="25"/>
  <c r="H172" i="25"/>
  <c r="L171" i="25"/>
  <c r="H171" i="25"/>
  <c r="L170" i="25"/>
  <c r="H170" i="25"/>
  <c r="L169" i="25"/>
  <c r="H169" i="25"/>
  <c r="L168" i="25"/>
  <c r="H168" i="25"/>
  <c r="L167" i="25"/>
  <c r="H167" i="25"/>
  <c r="L166" i="25"/>
  <c r="H166" i="25"/>
  <c r="L165" i="25"/>
  <c r="H165" i="25"/>
  <c r="L164" i="25"/>
  <c r="H164" i="25"/>
  <c r="J153" i="25"/>
  <c r="J152" i="25"/>
  <c r="J151" i="25"/>
  <c r="J150" i="25"/>
  <c r="J149" i="25"/>
  <c r="J147" i="25"/>
  <c r="J141" i="25"/>
  <c r="J140" i="25"/>
  <c r="J139" i="25"/>
  <c r="J133" i="25"/>
  <c r="J132" i="25"/>
  <c r="J131" i="25"/>
  <c r="J128" i="25"/>
  <c r="J127" i="25"/>
  <c r="J126" i="25"/>
  <c r="J119" i="25"/>
  <c r="J118" i="25"/>
  <c r="J117" i="25"/>
  <c r="J116" i="25"/>
  <c r="J109" i="25"/>
  <c r="J107" i="25"/>
  <c r="J106" i="25"/>
  <c r="J105" i="25"/>
  <c r="S18" i="25"/>
  <c r="O19" i="25" s="1"/>
  <c r="L155" i="33"/>
  <c r="L156" i="33"/>
  <c r="L157" i="33"/>
  <c r="L158" i="33"/>
  <c r="L159" i="33"/>
  <c r="L160" i="33"/>
  <c r="L161" i="33"/>
  <c r="L162" i="33"/>
  <c r="L163" i="33"/>
  <c r="L164" i="33"/>
  <c r="L165" i="33"/>
  <c r="L166" i="33"/>
  <c r="L167" i="33"/>
  <c r="L168" i="33"/>
  <c r="L169" i="33"/>
  <c r="L154" i="33"/>
  <c r="H155" i="33"/>
  <c r="H156" i="33"/>
  <c r="H157" i="33"/>
  <c r="H158" i="33"/>
  <c r="H159" i="33"/>
  <c r="H160" i="33"/>
  <c r="H161" i="33"/>
  <c r="H162" i="33"/>
  <c r="H163" i="33"/>
  <c r="H164" i="33"/>
  <c r="H165" i="33"/>
  <c r="H166" i="33"/>
  <c r="H167" i="33"/>
  <c r="H168" i="33"/>
  <c r="H169" i="33"/>
  <c r="H154" i="33"/>
  <c r="F122" i="32"/>
  <c r="J122" i="32" s="1"/>
  <c r="L165" i="32"/>
  <c r="H165" i="32"/>
  <c r="L171" i="32"/>
  <c r="L157" i="32"/>
  <c r="L158" i="32"/>
  <c r="L159" i="32"/>
  <c r="L160" i="32"/>
  <c r="L161" i="32"/>
  <c r="L162" i="32"/>
  <c r="L163" i="32"/>
  <c r="L164" i="32"/>
  <c r="L166" i="32"/>
  <c r="L167" i="32"/>
  <c r="L168" i="32"/>
  <c r="L169" i="32"/>
  <c r="L170" i="32"/>
  <c r="L156" i="32"/>
  <c r="H157" i="32"/>
  <c r="H158" i="32"/>
  <c r="H159" i="32"/>
  <c r="H160" i="32"/>
  <c r="H161" i="32"/>
  <c r="H162" i="32"/>
  <c r="H163" i="32"/>
  <c r="H164" i="32"/>
  <c r="H166" i="32"/>
  <c r="H167" i="32"/>
  <c r="H168" i="32"/>
  <c r="H169" i="32"/>
  <c r="H170" i="32"/>
  <c r="H171" i="32"/>
  <c r="H156" i="32"/>
  <c r="J144" i="32"/>
  <c r="J143" i="32"/>
  <c r="J142" i="32"/>
  <c r="J141" i="32"/>
  <c r="J140" i="32"/>
  <c r="J138" i="32"/>
  <c r="J132" i="32"/>
  <c r="J131" i="32"/>
  <c r="J130" i="32"/>
  <c r="J124" i="32"/>
  <c r="J123" i="32"/>
  <c r="J116" i="32"/>
  <c r="J115" i="32"/>
  <c r="J112" i="32"/>
  <c r="J111" i="32"/>
  <c r="J110" i="32"/>
  <c r="J109" i="32"/>
  <c r="J103" i="32"/>
  <c r="J102" i="32"/>
  <c r="J101" i="32"/>
  <c r="J100" i="32"/>
  <c r="J99" i="32"/>
  <c r="J96" i="32"/>
  <c r="J95" i="32"/>
  <c r="J94" i="32"/>
  <c r="J93" i="32"/>
  <c r="J92" i="32"/>
  <c r="J91" i="32"/>
  <c r="J90" i="32"/>
  <c r="J82" i="32"/>
  <c r="J81" i="32"/>
  <c r="J80" i="32"/>
  <c r="J79" i="32"/>
  <c r="J78" i="32"/>
  <c r="J73" i="32"/>
  <c r="F16" i="32" s="1"/>
  <c r="J16" i="32" s="1"/>
  <c r="AB32" i="32"/>
  <c r="AB31" i="32"/>
  <c r="AB30" i="32"/>
  <c r="AB29" i="32"/>
  <c r="AB28" i="32"/>
  <c r="AB27" i="32"/>
  <c r="AB26" i="32"/>
  <c r="S18" i="32"/>
  <c r="O19" i="32" s="1"/>
  <c r="H11" i="30"/>
  <c r="AC33" i="33"/>
  <c r="J61" i="33"/>
  <c r="J143" i="33"/>
  <c r="J142" i="33"/>
  <c r="J141" i="33"/>
  <c r="J140" i="33"/>
  <c r="J139" i="33"/>
  <c r="J137" i="33"/>
  <c r="J131" i="33"/>
  <c r="J130" i="33"/>
  <c r="J129" i="33"/>
  <c r="J123" i="33"/>
  <c r="J122" i="33"/>
  <c r="J115" i="33"/>
  <c r="J114" i="33"/>
  <c r="J111" i="33"/>
  <c r="J110" i="33"/>
  <c r="J109" i="33"/>
  <c r="J108" i="33"/>
  <c r="J102" i="33"/>
  <c r="J101" i="33"/>
  <c r="J100" i="33"/>
  <c r="J99" i="33"/>
  <c r="J96" i="33"/>
  <c r="J95" i="33"/>
  <c r="J94" i="33"/>
  <c r="J93" i="33"/>
  <c r="J92" i="33"/>
  <c r="J91" i="33"/>
  <c r="J83" i="33"/>
  <c r="J82" i="33"/>
  <c r="J81" i="33"/>
  <c r="J80" i="33"/>
  <c r="J79" i="33"/>
  <c r="J74" i="33"/>
  <c r="F17" i="33" s="1"/>
  <c r="AB33" i="33"/>
  <c r="AB32" i="33"/>
  <c r="AB31" i="33"/>
  <c r="AB30" i="33"/>
  <c r="AB29" i="33"/>
  <c r="AB28" i="33"/>
  <c r="AB27" i="33"/>
  <c r="S19" i="33"/>
  <c r="O20" i="33" s="1"/>
  <c r="J73" i="34"/>
  <c r="F16" i="34" s="1"/>
  <c r="F123" i="34"/>
  <c r="J123" i="34" s="1"/>
  <c r="J94" i="34"/>
  <c r="J93" i="34"/>
  <c r="J95" i="34"/>
  <c r="J101" i="34"/>
  <c r="J102" i="34"/>
  <c r="J103" i="34"/>
  <c r="J92" i="34"/>
  <c r="J96" i="34"/>
  <c r="J97" i="34"/>
  <c r="J104" i="34"/>
  <c r="J100" i="34"/>
  <c r="J91" i="34"/>
  <c r="J145" i="34"/>
  <c r="J144" i="34"/>
  <c r="J143" i="34"/>
  <c r="J142" i="34"/>
  <c r="J141" i="34"/>
  <c r="J139" i="34"/>
  <c r="F112" i="34"/>
  <c r="J112" i="34" s="1"/>
  <c r="F111" i="34"/>
  <c r="J111" i="34" s="1"/>
  <c r="F110" i="34"/>
  <c r="J110" i="34" s="1"/>
  <c r="F113" i="34"/>
  <c r="J113" i="34" s="1"/>
  <c r="L157" i="34"/>
  <c r="L158" i="34" s="1"/>
  <c r="L159" i="34" s="1"/>
  <c r="L160" i="34" s="1"/>
  <c r="L161" i="34" s="1"/>
  <c r="L162" i="34" s="1"/>
  <c r="L163" i="34" s="1"/>
  <c r="L164" i="34" s="1"/>
  <c r="L165" i="34" s="1"/>
  <c r="L166" i="34" s="1"/>
  <c r="L167" i="34" s="1"/>
  <c r="L168" i="34" s="1"/>
  <c r="L169" i="34" s="1"/>
  <c r="L170" i="34" s="1"/>
  <c r="L171" i="34" s="1"/>
  <c r="L172" i="34" s="1"/>
  <c r="L173" i="34" s="1"/>
  <c r="L174" i="34" s="1"/>
  <c r="L175" i="34" s="1"/>
  <c r="L176" i="34" s="1"/>
  <c r="L177" i="34" s="1"/>
  <c r="L178" i="34" s="1"/>
  <c r="H157" i="34"/>
  <c r="H158" i="34" s="1"/>
  <c r="H159" i="34" s="1"/>
  <c r="H160" i="34" s="1"/>
  <c r="H161" i="34" s="1"/>
  <c r="H162" i="34" s="1"/>
  <c r="H163" i="34" s="1"/>
  <c r="H164" i="34" s="1"/>
  <c r="H165" i="34" s="1"/>
  <c r="H166" i="34" s="1"/>
  <c r="H167" i="34" s="1"/>
  <c r="H168" i="34" s="1"/>
  <c r="H169" i="34" s="1"/>
  <c r="H170" i="34" s="1"/>
  <c r="H171" i="34" s="1"/>
  <c r="H172" i="34" s="1"/>
  <c r="H173" i="34" s="1"/>
  <c r="H174" i="34" s="1"/>
  <c r="H175" i="34" s="1"/>
  <c r="H176" i="34" s="1"/>
  <c r="H177" i="34" s="1"/>
  <c r="H178" i="34" s="1"/>
  <c r="J133" i="34"/>
  <c r="J132" i="34"/>
  <c r="J131" i="34"/>
  <c r="J125" i="34"/>
  <c r="J124" i="34"/>
  <c r="J117" i="34"/>
  <c r="J114" i="34"/>
  <c r="J83" i="34"/>
  <c r="J82" i="34"/>
  <c r="J81" i="34"/>
  <c r="J80" i="34"/>
  <c r="J79" i="34"/>
  <c r="J78" i="34"/>
  <c r="AB32" i="34"/>
  <c r="AB31" i="34"/>
  <c r="AB30" i="34"/>
  <c r="AB29" i="34"/>
  <c r="AB28" i="34"/>
  <c r="AB27" i="34"/>
  <c r="AB26" i="34"/>
  <c r="S18" i="34"/>
  <c r="O19" i="34" s="1"/>
  <c r="J416" i="22"/>
  <c r="J415" i="22"/>
  <c r="J414" i="22"/>
  <c r="J413" i="22"/>
  <c r="J412" i="22"/>
  <c r="J410" i="22"/>
  <c r="J380" i="22"/>
  <c r="L372" i="22"/>
  <c r="H372" i="22"/>
  <c r="J134" i="22"/>
  <c r="J135" i="22"/>
  <c r="J136" i="22"/>
  <c r="J213" i="22"/>
  <c r="J214" i="22"/>
  <c r="J215" i="22"/>
  <c r="J307" i="22"/>
  <c r="J308" i="22"/>
  <c r="J309" i="22"/>
  <c r="J304" i="22"/>
  <c r="J303" i="22"/>
  <c r="J302" i="22"/>
  <c r="J27" i="20" l="1"/>
  <c r="H17" i="33"/>
  <c r="F18" i="49"/>
  <c r="H27" i="20"/>
  <c r="J46" i="20"/>
  <c r="AC27" i="20"/>
  <c r="H46" i="20"/>
  <c r="F23" i="32"/>
  <c r="H181" i="32"/>
  <c r="F60" i="32" s="1"/>
  <c r="J26" i="21"/>
  <c r="J45" i="21" s="1"/>
  <c r="H26" i="21"/>
  <c r="H45" i="21" s="1"/>
  <c r="J17" i="21"/>
  <c r="F44" i="21"/>
  <c r="Z29" i="21" s="1"/>
  <c r="J16" i="21"/>
  <c r="F43" i="21"/>
  <c r="Z28" i="21" s="1"/>
  <c r="J28" i="21"/>
  <c r="J47" i="21" s="1"/>
  <c r="F47" i="21"/>
  <c r="Z32" i="21" s="1"/>
  <c r="H18" i="21"/>
  <c r="F48" i="21"/>
  <c r="Z33" i="21" s="1"/>
  <c r="Z35" i="21"/>
  <c r="J15" i="21"/>
  <c r="J42" i="21" s="1"/>
  <c r="F42" i="21"/>
  <c r="Z27" i="21" s="1"/>
  <c r="J22" i="36"/>
  <c r="H42" i="26"/>
  <c r="H51" i="26"/>
  <c r="F22" i="23"/>
  <c r="H22" i="23" s="1"/>
  <c r="F21" i="23"/>
  <c r="H21" i="23" s="1"/>
  <c r="F27" i="21"/>
  <c r="Z30" i="26"/>
  <c r="F44" i="26"/>
  <c r="H36" i="26"/>
  <c r="J42" i="26"/>
  <c r="H62" i="23"/>
  <c r="H64" i="23" s="1"/>
  <c r="J61" i="24"/>
  <c r="J63" i="24" s="1"/>
  <c r="H61" i="24"/>
  <c r="H63" i="24" s="1"/>
  <c r="F20" i="24"/>
  <c r="H20" i="24" s="1"/>
  <c r="H22" i="36"/>
  <c r="J16" i="28"/>
  <c r="AC23" i="28"/>
  <c r="J58" i="28"/>
  <c r="J60" i="28" s="1"/>
  <c r="AC35" i="28"/>
  <c r="J21" i="28"/>
  <c r="AC28" i="28"/>
  <c r="J51" i="26"/>
  <c r="J16" i="24"/>
  <c r="F149" i="30"/>
  <c r="F122" i="30"/>
  <c r="J36" i="26"/>
  <c r="J17" i="23"/>
  <c r="F166" i="30"/>
  <c r="F139" i="30"/>
  <c r="H62" i="37"/>
  <c r="J18" i="24"/>
  <c r="H16" i="32"/>
  <c r="AC25" i="32"/>
  <c r="J17" i="33"/>
  <c r="AC26" i="33"/>
  <c r="H61" i="33"/>
  <c r="H63" i="33" s="1"/>
  <c r="J24" i="33"/>
  <c r="H24" i="33"/>
  <c r="H20" i="25"/>
  <c r="J29" i="25"/>
  <c r="J85" i="25"/>
  <c r="H30" i="26"/>
  <c r="H33" i="26" s="1"/>
  <c r="F63" i="24"/>
  <c r="H107" i="30" s="1"/>
  <c r="F18" i="23"/>
  <c r="J91" i="26"/>
  <c r="J98" i="26" s="1"/>
  <c r="J22" i="35"/>
  <c r="F33" i="26"/>
  <c r="J62" i="23"/>
  <c r="J64" i="23" s="1"/>
  <c r="H62" i="30"/>
  <c r="H112" i="30"/>
  <c r="J112" i="30" s="1"/>
  <c r="F98" i="26"/>
  <c r="J26" i="26"/>
  <c r="J33" i="26" s="1"/>
  <c r="H22" i="35"/>
  <c r="J16" i="29"/>
  <c r="AC23" i="29"/>
  <c r="J16" i="34"/>
  <c r="AC25" i="34"/>
  <c r="J47" i="25"/>
  <c r="H47" i="25"/>
  <c r="J91" i="25"/>
  <c r="H21" i="29"/>
  <c r="AC28" i="29"/>
  <c r="AC29" i="23"/>
  <c r="J20" i="23"/>
  <c r="J23" i="34"/>
  <c r="AC32" i="34"/>
  <c r="J40" i="25"/>
  <c r="H40" i="25"/>
  <c r="F64" i="23"/>
  <c r="AC40" i="23" s="1"/>
  <c r="H28" i="21"/>
  <c r="H47" i="21" s="1"/>
  <c r="J21" i="26"/>
  <c r="H21" i="26"/>
  <c r="H98" i="26"/>
  <c r="H16" i="29"/>
  <c r="J21" i="29"/>
  <c r="AC26" i="23"/>
  <c r="Z35" i="24"/>
  <c r="Z28" i="24"/>
  <c r="Z33" i="24"/>
  <c r="J19" i="24"/>
  <c r="Z42" i="24"/>
  <c r="J306" i="25"/>
  <c r="F37" i="25" s="1"/>
  <c r="Z31" i="25" s="1"/>
  <c r="J142" i="25"/>
  <c r="F18" i="25" s="1"/>
  <c r="J372" i="25"/>
  <c r="F45" i="25" s="1"/>
  <c r="J364" i="25"/>
  <c r="F44" i="25" s="1"/>
  <c r="J200" i="25"/>
  <c r="F25" i="25" s="1"/>
  <c r="J222" i="25"/>
  <c r="F27" i="25" s="1"/>
  <c r="J277" i="25"/>
  <c r="J134" i="25"/>
  <c r="F17" i="25" s="1"/>
  <c r="J191" i="25"/>
  <c r="J111" i="25"/>
  <c r="F15" i="25" s="1"/>
  <c r="J263" i="25"/>
  <c r="F33" i="25" s="1"/>
  <c r="J36" i="21"/>
  <c r="D149" i="21"/>
  <c r="H17" i="21"/>
  <c r="J35" i="21"/>
  <c r="J155" i="23"/>
  <c r="D156" i="23"/>
  <c r="J156" i="23" s="1"/>
  <c r="Z29" i="24"/>
  <c r="Z31" i="24"/>
  <c r="J24" i="21"/>
  <c r="H16" i="21"/>
  <c r="F19" i="21"/>
  <c r="F30" i="21"/>
  <c r="H25" i="21"/>
  <c r="J29" i="21"/>
  <c r="H29" i="21"/>
  <c r="J25" i="21"/>
  <c r="J37" i="21"/>
  <c r="F94" i="21"/>
  <c r="H24" i="21"/>
  <c r="H15" i="21"/>
  <c r="H42" i="21" s="1"/>
  <c r="J18" i="21"/>
  <c r="J22" i="24"/>
  <c r="J31" i="21"/>
  <c r="J50" i="21" s="1"/>
  <c r="H31" i="21"/>
  <c r="H50" i="21" s="1"/>
  <c r="F248" i="21"/>
  <c r="J248" i="21" s="1"/>
  <c r="J254" i="21" s="1"/>
  <c r="F39" i="21"/>
  <c r="H16" i="34"/>
  <c r="J314" i="25"/>
  <c r="F38" i="25" s="1"/>
  <c r="Z32" i="25" s="1"/>
  <c r="H23" i="34"/>
  <c r="H10" i="30"/>
  <c r="J10" i="30" s="1"/>
  <c r="H30" i="30"/>
  <c r="J30" i="30" s="1"/>
  <c r="F96" i="30"/>
  <c r="F123" i="30" s="1"/>
  <c r="J11" i="30"/>
  <c r="J106" i="29"/>
  <c r="J97" i="29"/>
  <c r="F18" i="29" s="1"/>
  <c r="AC25" i="29" s="1"/>
  <c r="F9" i="29"/>
  <c r="J9" i="29" s="1"/>
  <c r="J79" i="29"/>
  <c r="F17" i="29" s="1"/>
  <c r="AC24" i="29" s="1"/>
  <c r="F112" i="29"/>
  <c r="J112" i="29" s="1"/>
  <c r="J118" i="29" s="1"/>
  <c r="F20" i="29" s="1"/>
  <c r="H20" i="29" s="1"/>
  <c r="H134" i="29"/>
  <c r="F58" i="29" s="1"/>
  <c r="H22" i="28"/>
  <c r="J94" i="28"/>
  <c r="J79" i="28"/>
  <c r="F17" i="28" s="1"/>
  <c r="J102" i="28"/>
  <c r="F19" i="28" s="1"/>
  <c r="F60" i="28"/>
  <c r="H60" i="28"/>
  <c r="H11" i="28"/>
  <c r="D148" i="25"/>
  <c r="F148" i="25" s="1"/>
  <c r="J148" i="25" s="1"/>
  <c r="J154" i="25" s="1"/>
  <c r="F19" i="25" s="1"/>
  <c r="J214" i="25"/>
  <c r="F26" i="25" s="1"/>
  <c r="J120" i="25"/>
  <c r="F16" i="25" s="1"/>
  <c r="D229" i="25"/>
  <c r="F228" i="25"/>
  <c r="J228" i="25" s="1"/>
  <c r="J234" i="25" s="1"/>
  <c r="F28" i="25" s="1"/>
  <c r="J298" i="25"/>
  <c r="F36" i="25" s="1"/>
  <c r="Z30" i="25" s="1"/>
  <c r="Z41" i="25"/>
  <c r="F378" i="25"/>
  <c r="J378" i="25" s="1"/>
  <c r="J384" i="25" s="1"/>
  <c r="F46" i="25" s="1"/>
  <c r="D379" i="25"/>
  <c r="H397" i="25"/>
  <c r="F94" i="25" s="1"/>
  <c r="H253" i="25"/>
  <c r="F88" i="25" s="1"/>
  <c r="J124" i="33"/>
  <c r="F21" i="33" s="1"/>
  <c r="F22" i="49" s="1"/>
  <c r="J132" i="33"/>
  <c r="F22" i="33" s="1"/>
  <c r="F23" i="49" s="1"/>
  <c r="J84" i="33"/>
  <c r="F18" i="33" s="1"/>
  <c r="F19" i="49" s="1"/>
  <c r="J103" i="33"/>
  <c r="F19" i="33" s="1"/>
  <c r="F20" i="49" s="1"/>
  <c r="D139" i="32"/>
  <c r="D140" i="32" s="1"/>
  <c r="J104" i="32"/>
  <c r="F18" i="32" s="1"/>
  <c r="J125" i="32"/>
  <c r="F20" i="32" s="1"/>
  <c r="J133" i="32"/>
  <c r="F21" i="32" s="1"/>
  <c r="J83" i="32"/>
  <c r="F17" i="32" s="1"/>
  <c r="J117" i="32"/>
  <c r="F63" i="33"/>
  <c r="F64" i="49" s="1"/>
  <c r="J63" i="33"/>
  <c r="J116" i="33"/>
  <c r="F20" i="33" s="1"/>
  <c r="F21" i="49" s="1"/>
  <c r="J105" i="34"/>
  <c r="F18" i="34" s="1"/>
  <c r="AC27" i="34" s="1"/>
  <c r="D140" i="34"/>
  <c r="J126" i="34"/>
  <c r="J84" i="34"/>
  <c r="F17" i="34" s="1"/>
  <c r="AC26" i="34" s="1"/>
  <c r="J134" i="34"/>
  <c r="J118" i="34"/>
  <c r="F19" i="34" s="1"/>
  <c r="AC28" i="34" s="1"/>
  <c r="L380" i="22"/>
  <c r="J310" i="22"/>
  <c r="F37" i="22" s="1"/>
  <c r="Z31" i="22" s="1"/>
  <c r="S18" i="22"/>
  <c r="H274" i="22"/>
  <c r="H275" i="22"/>
  <c r="F32" i="22"/>
  <c r="L285" i="22"/>
  <c r="H285" i="22"/>
  <c r="L284" i="22"/>
  <c r="H284" i="22"/>
  <c r="L283" i="22"/>
  <c r="H283" i="22"/>
  <c r="L280" i="22"/>
  <c r="H280" i="22"/>
  <c r="L279" i="22"/>
  <c r="H279" i="22"/>
  <c r="L278" i="22"/>
  <c r="H278" i="22"/>
  <c r="L277" i="22"/>
  <c r="H277" i="22"/>
  <c r="L276" i="22"/>
  <c r="H276" i="22"/>
  <c r="L275" i="22"/>
  <c r="L274" i="22"/>
  <c r="L172" i="22"/>
  <c r="H172" i="22"/>
  <c r="L170" i="22"/>
  <c r="H170" i="22"/>
  <c r="J358" i="22"/>
  <c r="J357" i="22"/>
  <c r="J356" i="22"/>
  <c r="J355" i="22"/>
  <c r="J354" i="22"/>
  <c r="J352" i="22"/>
  <c r="J264" i="22"/>
  <c r="J263" i="22"/>
  <c r="J262" i="22"/>
  <c r="J261" i="22"/>
  <c r="J260" i="22"/>
  <c r="J258" i="22"/>
  <c r="J155" i="22"/>
  <c r="J152" i="22"/>
  <c r="J153" i="22"/>
  <c r="J154" i="22"/>
  <c r="J156" i="22"/>
  <c r="J150" i="22"/>
  <c r="J252" i="22"/>
  <c r="J251" i="22"/>
  <c r="J250" i="22"/>
  <c r="J391" i="22"/>
  <c r="J390" i="22"/>
  <c r="J389" i="22"/>
  <c r="J210" i="22"/>
  <c r="J209" i="22"/>
  <c r="J208" i="22"/>
  <c r="J201" i="22"/>
  <c r="J200" i="22"/>
  <c r="J199" i="22"/>
  <c r="J198" i="22"/>
  <c r="J191" i="22"/>
  <c r="J189" i="22"/>
  <c r="J188" i="22"/>
  <c r="J187" i="22"/>
  <c r="AC27" i="29" l="1"/>
  <c r="J20" i="29"/>
  <c r="H23" i="32"/>
  <c r="AC32" i="32"/>
  <c r="J23" i="32"/>
  <c r="J60" i="32"/>
  <c r="J62" i="32" s="1"/>
  <c r="H60" i="32"/>
  <c r="H62" i="32" s="1"/>
  <c r="F62" i="32"/>
  <c r="AC39" i="32" s="1"/>
  <c r="H43" i="21"/>
  <c r="H48" i="21"/>
  <c r="J48" i="21"/>
  <c r="F49" i="21"/>
  <c r="Z34" i="21" s="1"/>
  <c r="H44" i="21"/>
  <c r="J43" i="21"/>
  <c r="H27" i="21"/>
  <c r="H46" i="21" s="1"/>
  <c r="F46" i="21"/>
  <c r="Z31" i="21" s="1"/>
  <c r="J44" i="21"/>
  <c r="Z32" i="24"/>
  <c r="H44" i="26"/>
  <c r="J27" i="21"/>
  <c r="J46" i="21" s="1"/>
  <c r="AC30" i="23"/>
  <c r="J44" i="26"/>
  <c r="AC31" i="23"/>
  <c r="J21" i="23"/>
  <c r="J22" i="23"/>
  <c r="F24" i="24"/>
  <c r="J18" i="23"/>
  <c r="H18" i="23"/>
  <c r="J20" i="24"/>
  <c r="J24" i="24" s="1"/>
  <c r="O19" i="22"/>
  <c r="J17" i="28"/>
  <c r="AC24" i="28"/>
  <c r="J19" i="28"/>
  <c r="AC26" i="28"/>
  <c r="AC26" i="32"/>
  <c r="H17" i="32"/>
  <c r="J17" i="32"/>
  <c r="AC30" i="32"/>
  <c r="H21" i="32"/>
  <c r="J21" i="32"/>
  <c r="AC27" i="32"/>
  <c r="J18" i="32"/>
  <c r="H18" i="32"/>
  <c r="H18" i="33"/>
  <c r="J18" i="33"/>
  <c r="AC27" i="33"/>
  <c r="J22" i="33"/>
  <c r="H22" i="33"/>
  <c r="AC31" i="33"/>
  <c r="H19" i="33"/>
  <c r="J19" i="33"/>
  <c r="AC28" i="33"/>
  <c r="F18" i="28"/>
  <c r="J88" i="25"/>
  <c r="H88" i="25"/>
  <c r="J19" i="25"/>
  <c r="H19" i="25"/>
  <c r="J16" i="25"/>
  <c r="H16" i="25"/>
  <c r="J33" i="25"/>
  <c r="Z27" i="25"/>
  <c r="H33" i="25"/>
  <c r="D149" i="25"/>
  <c r="H26" i="25"/>
  <c r="J26" i="25"/>
  <c r="J15" i="25"/>
  <c r="H15" i="25"/>
  <c r="H27" i="25"/>
  <c r="J27" i="25"/>
  <c r="J18" i="25"/>
  <c r="H18" i="25"/>
  <c r="J17" i="25"/>
  <c r="H17" i="25"/>
  <c r="H28" i="25"/>
  <c r="J28" i="25"/>
  <c r="J24" i="25"/>
  <c r="H24" i="25"/>
  <c r="H25" i="25"/>
  <c r="J25" i="25"/>
  <c r="AC27" i="23"/>
  <c r="H95" i="30"/>
  <c r="J95" i="30" s="1"/>
  <c r="AC40" i="33"/>
  <c r="J94" i="25"/>
  <c r="H94" i="25"/>
  <c r="J44" i="25"/>
  <c r="H44" i="25"/>
  <c r="J21" i="33"/>
  <c r="AC30" i="33"/>
  <c r="H45" i="25"/>
  <c r="J45" i="25"/>
  <c r="J20" i="33"/>
  <c r="J36" i="25"/>
  <c r="H36" i="25"/>
  <c r="J38" i="25"/>
  <c r="H38" i="25"/>
  <c r="J20" i="32"/>
  <c r="AC29" i="32"/>
  <c r="J46" i="25"/>
  <c r="H46" i="25"/>
  <c r="J37" i="25"/>
  <c r="H37" i="25"/>
  <c r="F19" i="29"/>
  <c r="AC26" i="29" s="1"/>
  <c r="J58" i="29"/>
  <c r="J60" i="29" s="1"/>
  <c r="H58" i="29"/>
  <c r="H60" i="29" s="1"/>
  <c r="H17" i="29"/>
  <c r="J17" i="29"/>
  <c r="J18" i="29"/>
  <c r="H18" i="29"/>
  <c r="F320" i="25"/>
  <c r="J320" i="25" s="1"/>
  <c r="J326" i="25" s="1"/>
  <c r="F39" i="25" s="1"/>
  <c r="J39" i="21"/>
  <c r="J160" i="23"/>
  <c r="J19" i="21"/>
  <c r="H19" i="21"/>
  <c r="F21" i="21"/>
  <c r="H94" i="21"/>
  <c r="H95" i="21" s="1"/>
  <c r="J94" i="21"/>
  <c r="J95" i="21" s="1"/>
  <c r="F95" i="21"/>
  <c r="H30" i="21"/>
  <c r="J30" i="21"/>
  <c r="H24" i="24"/>
  <c r="Z34" i="24"/>
  <c r="J32" i="22"/>
  <c r="H32" i="22"/>
  <c r="J37" i="22"/>
  <c r="H37" i="22"/>
  <c r="H39" i="21"/>
  <c r="F32" i="21"/>
  <c r="F21" i="34"/>
  <c r="AC30" i="34" s="1"/>
  <c r="H18" i="34"/>
  <c r="J18" i="34"/>
  <c r="J17" i="34"/>
  <c r="H17" i="34"/>
  <c r="H60" i="34"/>
  <c r="H62" i="34" s="1"/>
  <c r="J60" i="34"/>
  <c r="J62" i="34" s="1"/>
  <c r="F62" i="34"/>
  <c r="F19" i="32"/>
  <c r="F43" i="22"/>
  <c r="Z37" i="22" s="1"/>
  <c r="F150" i="30"/>
  <c r="H20" i="32"/>
  <c r="H21" i="33"/>
  <c r="F148" i="30"/>
  <c r="J19" i="34"/>
  <c r="H19" i="34"/>
  <c r="H20" i="33"/>
  <c r="H9" i="30"/>
  <c r="J9" i="30" s="1"/>
  <c r="J9" i="34"/>
  <c r="H20" i="34"/>
  <c r="J20" i="34"/>
  <c r="H26" i="30"/>
  <c r="J26" i="30" s="1"/>
  <c r="F60" i="29"/>
  <c r="AC35" i="29" s="1"/>
  <c r="F108" i="28"/>
  <c r="J108" i="28" s="1"/>
  <c r="J114" i="28" s="1"/>
  <c r="F20" i="28" s="1"/>
  <c r="F21" i="25"/>
  <c r="F48" i="25"/>
  <c r="F95" i="25"/>
  <c r="F30" i="25"/>
  <c r="D139" i="33"/>
  <c r="F138" i="33"/>
  <c r="J138" i="33" s="1"/>
  <c r="J144" i="33" s="1"/>
  <c r="F23" i="33" s="1"/>
  <c r="F139" i="32"/>
  <c r="J139" i="32" s="1"/>
  <c r="J145" i="32" s="1"/>
  <c r="F22" i="32" s="1"/>
  <c r="D141" i="34"/>
  <c r="F140" i="34"/>
  <c r="J140" i="34" s="1"/>
  <c r="J146" i="34" s="1"/>
  <c r="F22" i="34" s="1"/>
  <c r="F91" i="22"/>
  <c r="F259" i="22"/>
  <c r="J259" i="22" s="1"/>
  <c r="J265" i="22" s="1"/>
  <c r="F31" i="22" s="1"/>
  <c r="J216" i="22"/>
  <c r="F26" i="22" s="1"/>
  <c r="J253" i="22"/>
  <c r="F30" i="22" s="1"/>
  <c r="J397" i="22"/>
  <c r="F47" i="22" s="1"/>
  <c r="J193" i="22"/>
  <c r="F24" i="22" s="1"/>
  <c r="J202" i="22"/>
  <c r="F25" i="22" s="1"/>
  <c r="E93" i="4"/>
  <c r="C93" i="4"/>
  <c r="F93" i="4"/>
  <c r="F68" i="4"/>
  <c r="F69" i="4"/>
  <c r="F70" i="4"/>
  <c r="F71" i="4"/>
  <c r="F72" i="4"/>
  <c r="F73" i="4"/>
  <c r="F74" i="4"/>
  <c r="F76" i="4"/>
  <c r="F77" i="4"/>
  <c r="F79" i="4"/>
  <c r="F80" i="4"/>
  <c r="F87" i="4"/>
  <c r="F88" i="4"/>
  <c r="F89" i="4"/>
  <c r="F67" i="4"/>
  <c r="E87" i="4"/>
  <c r="E88" i="4"/>
  <c r="E89" i="4"/>
  <c r="C68" i="4"/>
  <c r="C69" i="4"/>
  <c r="C70" i="4"/>
  <c r="C71" i="4"/>
  <c r="C72" i="4"/>
  <c r="C73" i="4"/>
  <c r="C74" i="4"/>
  <c r="C76" i="4"/>
  <c r="C77" i="4"/>
  <c r="C79" i="4"/>
  <c r="C80" i="4"/>
  <c r="C87" i="4"/>
  <c r="C88" i="4"/>
  <c r="C89" i="4"/>
  <c r="C67" i="4"/>
  <c r="L139" i="27"/>
  <c r="L120" i="27"/>
  <c r="L121" i="27"/>
  <c r="L122" i="27"/>
  <c r="L123" i="27"/>
  <c r="L124" i="27"/>
  <c r="L125" i="27"/>
  <c r="L126" i="27"/>
  <c r="L127" i="27"/>
  <c r="L128" i="27"/>
  <c r="L129" i="27"/>
  <c r="L131" i="27"/>
  <c r="L132" i="27"/>
  <c r="L137" i="27"/>
  <c r="L138" i="27"/>
  <c r="L119" i="27"/>
  <c r="B68" i="4"/>
  <c r="B69" i="4"/>
  <c r="B71" i="4"/>
  <c r="B72" i="4"/>
  <c r="B73" i="4"/>
  <c r="B74" i="4"/>
  <c r="B76" i="4"/>
  <c r="B77" i="4"/>
  <c r="B79" i="4"/>
  <c r="B80" i="4"/>
  <c r="B87" i="4"/>
  <c r="B88" i="4"/>
  <c r="B89" i="4"/>
  <c r="B67" i="4"/>
  <c r="E32" i="4"/>
  <c r="E33" i="4"/>
  <c r="E34" i="4"/>
  <c r="E35" i="4"/>
  <c r="E39" i="4"/>
  <c r="E40" i="4"/>
  <c r="E45" i="4"/>
  <c r="E50" i="4"/>
  <c r="E59" i="4"/>
  <c r="E60" i="4"/>
  <c r="B32" i="4"/>
  <c r="B33" i="4"/>
  <c r="B34" i="4"/>
  <c r="B35" i="4"/>
  <c r="B31" i="4"/>
  <c r="I32" i="4"/>
  <c r="I33" i="4"/>
  <c r="I34" i="4"/>
  <c r="I35" i="4"/>
  <c r="I38" i="4"/>
  <c r="I39" i="4"/>
  <c r="I40" i="4"/>
  <c r="I45" i="4"/>
  <c r="I46" i="4"/>
  <c r="I47" i="4"/>
  <c r="I48" i="4"/>
  <c r="I49" i="4"/>
  <c r="I50" i="4"/>
  <c r="I52" i="4"/>
  <c r="I59" i="4"/>
  <c r="I60" i="4"/>
  <c r="I31" i="4"/>
  <c r="J32" i="4"/>
  <c r="J33" i="4"/>
  <c r="J34" i="4"/>
  <c r="J35" i="4"/>
  <c r="J38" i="4"/>
  <c r="J39" i="4"/>
  <c r="J40" i="4"/>
  <c r="J45" i="4"/>
  <c r="J46" i="4"/>
  <c r="J47" i="4"/>
  <c r="J48" i="4"/>
  <c r="J49" i="4"/>
  <c r="J50" i="4"/>
  <c r="J52" i="4"/>
  <c r="J59" i="4"/>
  <c r="J60" i="4"/>
  <c r="E15" i="4"/>
  <c r="E16" i="4"/>
  <c r="E17" i="4"/>
  <c r="E21" i="4"/>
  <c r="E22" i="4"/>
  <c r="E24" i="4"/>
  <c r="E14" i="4"/>
  <c r="B16" i="4"/>
  <c r="B17" i="4"/>
  <c r="B21" i="4"/>
  <c r="B22" i="4"/>
  <c r="B24" i="4"/>
  <c r="B14" i="4"/>
  <c r="I24" i="4"/>
  <c r="I22" i="4"/>
  <c r="I21" i="4"/>
  <c r="I17" i="4"/>
  <c r="I16" i="4"/>
  <c r="I15" i="4"/>
  <c r="I14" i="4"/>
  <c r="J234" i="20"/>
  <c r="J233" i="20"/>
  <c r="J232" i="20"/>
  <c r="J231" i="20"/>
  <c r="S18" i="20"/>
  <c r="O19" i="20" s="1"/>
  <c r="J144" i="22"/>
  <c r="J143" i="22"/>
  <c r="J142" i="22"/>
  <c r="J154" i="20"/>
  <c r="J153" i="20"/>
  <c r="J152" i="20"/>
  <c r="J149" i="20"/>
  <c r="J144" i="20"/>
  <c r="J143" i="20"/>
  <c r="J142" i="20"/>
  <c r="F51" i="30"/>
  <c r="F52" i="30"/>
  <c r="F79" i="30" s="1"/>
  <c r="F106" i="30" s="1"/>
  <c r="F53" i="30"/>
  <c r="F54" i="30"/>
  <c r="F55" i="30"/>
  <c r="F56" i="30"/>
  <c r="F83" i="30" s="1"/>
  <c r="F110" i="30" s="1"/>
  <c r="F84" i="30"/>
  <c r="F61" i="30"/>
  <c r="F62" i="30"/>
  <c r="F89" i="30" s="1"/>
  <c r="F50" i="30"/>
  <c r="F77" i="30" s="1"/>
  <c r="F104" i="30" s="1"/>
  <c r="F131" i="30" s="1"/>
  <c r="H24" i="30"/>
  <c r="H25" i="30"/>
  <c r="J31" i="30"/>
  <c r="J430" i="22"/>
  <c r="F430" i="22"/>
  <c r="L429" i="22"/>
  <c r="H429" i="22"/>
  <c r="L428" i="22"/>
  <c r="H428" i="22"/>
  <c r="L427" i="22"/>
  <c r="H427" i="22"/>
  <c r="L426" i="22"/>
  <c r="H426" i="22"/>
  <c r="J404" i="22"/>
  <c r="J403" i="22"/>
  <c r="J402" i="22"/>
  <c r="L379" i="22"/>
  <c r="H379" i="22"/>
  <c r="L378" i="22"/>
  <c r="H378" i="22"/>
  <c r="L377" i="22"/>
  <c r="H377" i="22"/>
  <c r="L376" i="22"/>
  <c r="H376" i="22"/>
  <c r="L375" i="22"/>
  <c r="H375" i="22"/>
  <c r="L374" i="22"/>
  <c r="H374" i="22"/>
  <c r="L373" i="22"/>
  <c r="H373" i="22"/>
  <c r="L370" i="22"/>
  <c r="H370" i="22"/>
  <c r="L369" i="22"/>
  <c r="H369" i="22"/>
  <c r="L368" i="22"/>
  <c r="H368" i="22"/>
  <c r="J346" i="22"/>
  <c r="J345" i="22"/>
  <c r="J344" i="22"/>
  <c r="J338" i="22"/>
  <c r="J337" i="22"/>
  <c r="J336" i="22"/>
  <c r="J330" i="22"/>
  <c r="J328" i="22"/>
  <c r="J327" i="22"/>
  <c r="J326" i="22"/>
  <c r="J325" i="22"/>
  <c r="J324" i="22"/>
  <c r="J295" i="22"/>
  <c r="J294" i="22"/>
  <c r="J293" i="22"/>
  <c r="J292" i="22"/>
  <c r="J181" i="22"/>
  <c r="L181" i="22" s="1"/>
  <c r="F20" i="22" s="1"/>
  <c r="F181" i="22"/>
  <c r="L180" i="22"/>
  <c r="H180" i="22"/>
  <c r="L179" i="22"/>
  <c r="H179" i="22"/>
  <c r="L178" i="22"/>
  <c r="H178" i="22"/>
  <c r="L169" i="22"/>
  <c r="H169" i="22"/>
  <c r="L177" i="22"/>
  <c r="H177" i="22"/>
  <c r="L176" i="22"/>
  <c r="H176" i="22"/>
  <c r="L175" i="22"/>
  <c r="H175" i="22"/>
  <c r="L174" i="22"/>
  <c r="H174" i="22"/>
  <c r="L173" i="22"/>
  <c r="H173" i="22"/>
  <c r="L171" i="22"/>
  <c r="H171" i="22"/>
  <c r="L168" i="22"/>
  <c r="H168" i="22"/>
  <c r="L167" i="22"/>
  <c r="H167" i="22"/>
  <c r="J131" i="22"/>
  <c r="J130" i="22"/>
  <c r="J129" i="22"/>
  <c r="J122" i="22"/>
  <c r="J121" i="22"/>
  <c r="J120" i="22"/>
  <c r="J119" i="22"/>
  <c r="J112" i="22"/>
  <c r="J110" i="22"/>
  <c r="J109" i="22"/>
  <c r="J108" i="22"/>
  <c r="G163" i="27"/>
  <c r="J342" i="20"/>
  <c r="J341" i="20"/>
  <c r="J340" i="20"/>
  <c r="J337" i="20"/>
  <c r="J332" i="20"/>
  <c r="J331" i="20"/>
  <c r="J330" i="20"/>
  <c r="J360" i="20"/>
  <c r="L360" i="20" s="1"/>
  <c r="F39" i="20" s="1"/>
  <c r="F360" i="20"/>
  <c r="H360" i="20" s="1"/>
  <c r="F96" i="20" s="1"/>
  <c r="F32" i="20"/>
  <c r="L292" i="20"/>
  <c r="L291" i="20"/>
  <c r="L290" i="20"/>
  <c r="L289" i="20"/>
  <c r="L287" i="20"/>
  <c r="L286" i="20"/>
  <c r="L285" i="20"/>
  <c r="L284" i="20"/>
  <c r="L281" i="20"/>
  <c r="L280" i="20"/>
  <c r="L279" i="20"/>
  <c r="L278" i="20"/>
  <c r="L277" i="20"/>
  <c r="AC27" i="28" l="1"/>
  <c r="J20" i="28"/>
  <c r="J26" i="48"/>
  <c r="F26" i="48" s="1"/>
  <c r="H26" i="48" s="1"/>
  <c r="J93" i="49"/>
  <c r="F25" i="33"/>
  <c r="F26" i="49" s="1"/>
  <c r="F24" i="49"/>
  <c r="H96" i="30"/>
  <c r="J96" i="30" s="1"/>
  <c r="F24" i="32"/>
  <c r="H22" i="32"/>
  <c r="J22" i="32"/>
  <c r="AC31" i="32"/>
  <c r="CK17" i="4"/>
  <c r="DI17" i="4"/>
  <c r="CK22" i="4"/>
  <c r="DI22" i="4"/>
  <c r="CK31" i="4"/>
  <c r="DI31" i="4"/>
  <c r="CK46" i="4"/>
  <c r="DI46" i="4"/>
  <c r="CK32" i="4"/>
  <c r="DI32" i="4"/>
  <c r="CK24" i="4"/>
  <c r="DI24" i="4"/>
  <c r="CK60" i="4"/>
  <c r="DI60" i="4"/>
  <c r="CK45" i="4"/>
  <c r="DI45" i="4"/>
  <c r="CK59" i="4"/>
  <c r="DI59" i="4"/>
  <c r="CK40" i="4"/>
  <c r="DI40" i="4"/>
  <c r="CK15" i="4"/>
  <c r="DI15" i="4"/>
  <c r="CK50" i="4"/>
  <c r="DI50" i="4"/>
  <c r="CK38" i="4"/>
  <c r="DI38" i="4"/>
  <c r="CK48" i="4"/>
  <c r="DI48" i="4"/>
  <c r="CK34" i="4"/>
  <c r="DI34" i="4"/>
  <c r="CK14" i="4"/>
  <c r="DI14" i="4"/>
  <c r="CK52" i="4"/>
  <c r="DI52" i="4"/>
  <c r="CK39" i="4"/>
  <c r="DI39" i="4"/>
  <c r="CK16" i="4"/>
  <c r="DI16" i="4"/>
  <c r="CK49" i="4"/>
  <c r="DI49" i="4"/>
  <c r="CK35" i="4"/>
  <c r="DI35" i="4"/>
  <c r="CK21" i="4"/>
  <c r="DI21" i="4"/>
  <c r="CK47" i="4"/>
  <c r="DI47" i="4"/>
  <c r="CK33" i="4"/>
  <c r="DI33" i="4"/>
  <c r="AO39" i="4"/>
  <c r="BM39" i="4"/>
  <c r="AO22" i="4"/>
  <c r="BM22" i="4"/>
  <c r="BM14" i="4"/>
  <c r="AO60" i="4"/>
  <c r="BM60" i="4"/>
  <c r="BM40" i="4"/>
  <c r="AO24" i="4"/>
  <c r="BM24" i="4"/>
  <c r="AO59" i="4"/>
  <c r="BM59" i="4"/>
  <c r="BM35" i="4"/>
  <c r="AO47" i="4"/>
  <c r="BM47" i="4"/>
  <c r="AO33" i="4"/>
  <c r="BM33" i="4"/>
  <c r="AO93" i="4"/>
  <c r="BM93" i="4"/>
  <c r="BM52" i="4"/>
  <c r="BM38" i="4"/>
  <c r="AO48" i="4"/>
  <c r="BM48" i="4"/>
  <c r="AO34" i="4"/>
  <c r="BM34" i="4"/>
  <c r="BM15" i="4"/>
  <c r="BM46" i="4"/>
  <c r="BM32" i="4"/>
  <c r="AO50" i="4"/>
  <c r="BM50" i="4"/>
  <c r="AO21" i="4"/>
  <c r="BM21" i="4"/>
  <c r="AO49" i="4"/>
  <c r="BM49" i="4"/>
  <c r="AO17" i="4"/>
  <c r="BM17" i="4"/>
  <c r="BM16" i="4"/>
  <c r="BM45" i="4"/>
  <c r="AO14" i="4"/>
  <c r="AO40" i="4"/>
  <c r="AO16" i="4"/>
  <c r="AO38" i="4"/>
  <c r="AO35" i="4"/>
  <c r="AO46" i="4"/>
  <c r="AO32" i="4"/>
  <c r="AO52" i="4"/>
  <c r="AO15" i="4"/>
  <c r="AO45" i="4"/>
  <c r="F137" i="30"/>
  <c r="H110" i="30"/>
  <c r="J32" i="21"/>
  <c r="F51" i="21"/>
  <c r="H21" i="21"/>
  <c r="H49" i="21"/>
  <c r="H51" i="21" s="1"/>
  <c r="J21" i="21"/>
  <c r="J49" i="21"/>
  <c r="J51" i="21" s="1"/>
  <c r="H106" i="30"/>
  <c r="J106" i="30" s="1"/>
  <c r="Z42" i="21"/>
  <c r="J26" i="46"/>
  <c r="F26" i="46" s="1"/>
  <c r="H23" i="33"/>
  <c r="H25" i="33" s="1"/>
  <c r="J23" i="33"/>
  <c r="J25" i="33" s="1"/>
  <c r="AC32" i="33"/>
  <c r="J10" i="43"/>
  <c r="J10" i="44"/>
  <c r="J10" i="42"/>
  <c r="J10" i="41"/>
  <c r="BJ93" i="4"/>
  <c r="J54" i="46" s="1"/>
  <c r="AL93" i="4"/>
  <c r="J53" i="46" s="1"/>
  <c r="BJ35" i="4"/>
  <c r="AL35" i="4"/>
  <c r="AL48" i="4"/>
  <c r="BJ48" i="4"/>
  <c r="CH47" i="4"/>
  <c r="DF47" i="4"/>
  <c r="CH33" i="4"/>
  <c r="DF33" i="4"/>
  <c r="AL47" i="4"/>
  <c r="BJ47" i="4"/>
  <c r="BJ33" i="4"/>
  <c r="AL33" i="4"/>
  <c r="CH31" i="4"/>
  <c r="DF31" i="4"/>
  <c r="DF46" i="4"/>
  <c r="CH46" i="4"/>
  <c r="CH32" i="4"/>
  <c r="DF32" i="4"/>
  <c r="AL46" i="4"/>
  <c r="BJ46" i="4"/>
  <c r="AL32" i="4"/>
  <c r="BJ32" i="4"/>
  <c r="DF35" i="4"/>
  <c r="CH35" i="4"/>
  <c r="CH48" i="4"/>
  <c r="DF48" i="4"/>
  <c r="BJ34" i="4"/>
  <c r="AL34" i="4"/>
  <c r="DF60" i="4"/>
  <c r="CH60" i="4"/>
  <c r="DF45" i="4"/>
  <c r="CH45" i="4"/>
  <c r="BJ45" i="4"/>
  <c r="AL45" i="4"/>
  <c r="DF59" i="4"/>
  <c r="CH59" i="4"/>
  <c r="CH40" i="4"/>
  <c r="DF40" i="4"/>
  <c r="BJ60" i="4"/>
  <c r="AL60" i="4"/>
  <c r="AL40" i="4"/>
  <c r="BJ40" i="4"/>
  <c r="CH49" i="4"/>
  <c r="DF49" i="4"/>
  <c r="AL49" i="4"/>
  <c r="BJ49" i="4"/>
  <c r="DF34" i="4"/>
  <c r="CH34" i="4"/>
  <c r="DF52" i="4"/>
  <c r="BJ52" i="4"/>
  <c r="CH52" i="4"/>
  <c r="AL52" i="4"/>
  <c r="CH39" i="4"/>
  <c r="DF39" i="4"/>
  <c r="BJ59" i="4"/>
  <c r="AL59" i="4"/>
  <c r="AL39" i="4"/>
  <c r="BJ39" i="4"/>
  <c r="CH50" i="4"/>
  <c r="DF50" i="4"/>
  <c r="DF38" i="4"/>
  <c r="CH38" i="4"/>
  <c r="AL50" i="4"/>
  <c r="BJ50" i="4"/>
  <c r="AL38" i="4"/>
  <c r="BJ38" i="4"/>
  <c r="CH16" i="4"/>
  <c r="DF16" i="4"/>
  <c r="CH22" i="4"/>
  <c r="DF22" i="4"/>
  <c r="CH24" i="4"/>
  <c r="DF24" i="4"/>
  <c r="CH17" i="4"/>
  <c r="DF17" i="4"/>
  <c r="CH21" i="4"/>
  <c r="DF21" i="4"/>
  <c r="CH14" i="4"/>
  <c r="DF14" i="4"/>
  <c r="CH15" i="4"/>
  <c r="DF15" i="4"/>
  <c r="BJ16" i="4"/>
  <c r="AL15" i="4"/>
  <c r="BJ15" i="4"/>
  <c r="AL17" i="4"/>
  <c r="BJ17" i="4"/>
  <c r="AL24" i="4"/>
  <c r="BJ24" i="4"/>
  <c r="AL22" i="4"/>
  <c r="BJ22" i="4"/>
  <c r="AL14" i="4"/>
  <c r="BJ14" i="4"/>
  <c r="AL21" i="4"/>
  <c r="BJ21" i="4"/>
  <c r="AL16" i="4"/>
  <c r="H10" i="45"/>
  <c r="H11" i="45" s="1"/>
  <c r="J26" i="41"/>
  <c r="F26" i="41" s="1"/>
  <c r="J26" i="44"/>
  <c r="F26" i="44" s="1"/>
  <c r="J26" i="42"/>
  <c r="F26" i="42" s="1"/>
  <c r="J26" i="43"/>
  <c r="F26" i="43" s="1"/>
  <c r="AC31" i="34"/>
  <c r="H22" i="34"/>
  <c r="J22" i="34"/>
  <c r="F23" i="23"/>
  <c r="H23" i="23" s="1"/>
  <c r="H25" i="23" s="1"/>
  <c r="J10" i="22"/>
  <c r="H27" i="24"/>
  <c r="DO14" i="4"/>
  <c r="DK14" i="4"/>
  <c r="DL14" i="4"/>
  <c r="DM14" i="4"/>
  <c r="CN14" i="4"/>
  <c r="CP14" i="4"/>
  <c r="CM14" i="4"/>
  <c r="CQ14" i="4"/>
  <c r="CO14" i="4"/>
  <c r="DN14" i="4"/>
  <c r="DK21" i="4"/>
  <c r="DL21" i="4"/>
  <c r="DM21" i="4"/>
  <c r="DO21" i="4"/>
  <c r="CO21" i="4"/>
  <c r="CM21" i="4"/>
  <c r="CN21" i="4"/>
  <c r="CQ21" i="4"/>
  <c r="DN21" i="4"/>
  <c r="CP21" i="4"/>
  <c r="BO22" i="4"/>
  <c r="BS22" i="4"/>
  <c r="BP22" i="4"/>
  <c r="BQ22" i="4"/>
  <c r="BR22" i="4"/>
  <c r="BN22" i="4"/>
  <c r="BW22" i="4"/>
  <c r="CA22" i="4"/>
  <c r="CE22" i="4"/>
  <c r="AM22" i="4"/>
  <c r="AR22" i="4"/>
  <c r="AV22" i="4"/>
  <c r="AZ22" i="4"/>
  <c r="BD22" i="4"/>
  <c r="BH22" i="4"/>
  <c r="BT22" i="4"/>
  <c r="BX22" i="4"/>
  <c r="CB22" i="4"/>
  <c r="CF22" i="4"/>
  <c r="AN22" i="4"/>
  <c r="AS22" i="4"/>
  <c r="AW22" i="4"/>
  <c r="BA22" i="4"/>
  <c r="BE22" i="4"/>
  <c r="BU22" i="4"/>
  <c r="BY22" i="4"/>
  <c r="CC22" i="4"/>
  <c r="AP22" i="4"/>
  <c r="AT22" i="4"/>
  <c r="AX22" i="4"/>
  <c r="BB22" i="4"/>
  <c r="BF22" i="4"/>
  <c r="BL22" i="4"/>
  <c r="BV22" i="4"/>
  <c r="BZ22" i="4"/>
  <c r="CD22" i="4"/>
  <c r="AQ22" i="4"/>
  <c r="AU22" i="4"/>
  <c r="AY22" i="4"/>
  <c r="BC22" i="4"/>
  <c r="BG22" i="4"/>
  <c r="BO15" i="4"/>
  <c r="BS15" i="4"/>
  <c r="BP15" i="4"/>
  <c r="BQ15" i="4"/>
  <c r="BR15" i="4"/>
  <c r="AR15" i="4"/>
  <c r="AS15" i="4"/>
  <c r="AT15" i="4"/>
  <c r="AQ15" i="4"/>
  <c r="AU15" i="4"/>
  <c r="DK52" i="4"/>
  <c r="DO52" i="4"/>
  <c r="DL52" i="4"/>
  <c r="DM52" i="4"/>
  <c r="DN52" i="4"/>
  <c r="CO52" i="4"/>
  <c r="CM52" i="4"/>
  <c r="CQ52" i="4"/>
  <c r="CN52" i="4"/>
  <c r="CP52" i="4"/>
  <c r="DK47" i="4"/>
  <c r="DO47" i="4"/>
  <c r="DL47" i="4"/>
  <c r="DM47" i="4"/>
  <c r="DN47" i="4"/>
  <c r="CO47" i="4"/>
  <c r="CM47" i="4"/>
  <c r="CQ47" i="4"/>
  <c r="CN47" i="4"/>
  <c r="CP47" i="4"/>
  <c r="DN39" i="4"/>
  <c r="DK39" i="4"/>
  <c r="DO39" i="4"/>
  <c r="DL39" i="4"/>
  <c r="DM39" i="4"/>
  <c r="CN39" i="4"/>
  <c r="CP39" i="4"/>
  <c r="CM39" i="4"/>
  <c r="CQ39" i="4"/>
  <c r="CO39" i="4"/>
  <c r="DM33" i="4"/>
  <c r="DN33" i="4"/>
  <c r="CP33" i="4"/>
  <c r="CO33" i="4"/>
  <c r="CN33" i="4"/>
  <c r="CM33" i="4"/>
  <c r="DL33" i="4"/>
  <c r="DO33" i="4"/>
  <c r="DK33" i="4"/>
  <c r="CQ33" i="4"/>
  <c r="CD60" i="4"/>
  <c r="BQ60" i="4"/>
  <c r="BR60" i="4"/>
  <c r="BO60" i="4"/>
  <c r="BS60" i="4"/>
  <c r="BP60" i="4"/>
  <c r="AQ60" i="4"/>
  <c r="AU60" i="4"/>
  <c r="AR60" i="4"/>
  <c r="AS60" i="4"/>
  <c r="AT60" i="4"/>
  <c r="BO49" i="4"/>
  <c r="BS49" i="4"/>
  <c r="BR49" i="4"/>
  <c r="AS49" i="4"/>
  <c r="AT49" i="4"/>
  <c r="BP49" i="4"/>
  <c r="AQ49" i="4"/>
  <c r="BQ49" i="4"/>
  <c r="AR49" i="4"/>
  <c r="AU49" i="4"/>
  <c r="BO45" i="4"/>
  <c r="BS45" i="4"/>
  <c r="BR45" i="4"/>
  <c r="BP45" i="4"/>
  <c r="AS45" i="4"/>
  <c r="BQ45" i="4"/>
  <c r="AT45" i="4"/>
  <c r="AQ45" i="4"/>
  <c r="AU45" i="4"/>
  <c r="AR45" i="4"/>
  <c r="BO35" i="4"/>
  <c r="BS35" i="4"/>
  <c r="BR35" i="4"/>
  <c r="BP35" i="4"/>
  <c r="AS35" i="4"/>
  <c r="BQ35" i="4"/>
  <c r="AT35" i="4"/>
  <c r="AQ35" i="4"/>
  <c r="AU35" i="4"/>
  <c r="AR35" i="4"/>
  <c r="DO15" i="4"/>
  <c r="DK15" i="4"/>
  <c r="DL15" i="4"/>
  <c r="DN15" i="4"/>
  <c r="CM15" i="4"/>
  <c r="CQ15" i="4"/>
  <c r="CO15" i="4"/>
  <c r="CP15" i="4"/>
  <c r="CN15" i="4"/>
  <c r="DM15" i="4"/>
  <c r="DK22" i="4"/>
  <c r="DL22" i="4"/>
  <c r="DN22" i="4"/>
  <c r="DO22" i="4"/>
  <c r="CP22" i="4"/>
  <c r="CM22" i="4"/>
  <c r="CN22" i="4"/>
  <c r="CQ22" i="4"/>
  <c r="DQ22" i="4"/>
  <c r="DU22" i="4"/>
  <c r="DY22" i="4"/>
  <c r="CJ22" i="4"/>
  <c r="CT22" i="4"/>
  <c r="CX22" i="4"/>
  <c r="DB22" i="4"/>
  <c r="DH22" i="4"/>
  <c r="DR22" i="4"/>
  <c r="DV22" i="4"/>
  <c r="DZ22" i="4"/>
  <c r="CL22" i="4"/>
  <c r="CU22" i="4"/>
  <c r="CY22" i="4"/>
  <c r="DC22" i="4"/>
  <c r="DJ22" i="4"/>
  <c r="DS22" i="4"/>
  <c r="DW22" i="4"/>
  <c r="EA22" i="4"/>
  <c r="CR22" i="4"/>
  <c r="CV22" i="4"/>
  <c r="CZ22" i="4"/>
  <c r="DD22" i="4"/>
  <c r="DP22" i="4"/>
  <c r="DT22" i="4"/>
  <c r="DX22" i="4"/>
  <c r="EB22" i="4"/>
  <c r="CS22" i="4"/>
  <c r="CW22" i="4"/>
  <c r="DA22" i="4"/>
  <c r="DM22" i="4"/>
  <c r="CO22" i="4"/>
  <c r="BP21" i="4"/>
  <c r="BQ21" i="4"/>
  <c r="BR21" i="4"/>
  <c r="BO21" i="4"/>
  <c r="BS21" i="4"/>
  <c r="AS21" i="4"/>
  <c r="AT21" i="4"/>
  <c r="AQ21" i="4"/>
  <c r="AU21" i="4"/>
  <c r="AR21" i="4"/>
  <c r="DK31" i="4"/>
  <c r="DL31" i="4"/>
  <c r="DO31" i="4"/>
  <c r="CN31" i="4"/>
  <c r="CQ31" i="4"/>
  <c r="CM31" i="4"/>
  <c r="DN31" i="4"/>
  <c r="DM31" i="4"/>
  <c r="CP31" i="4"/>
  <c r="CO31" i="4"/>
  <c r="DL50" i="4"/>
  <c r="DM50" i="4"/>
  <c r="DN50" i="4"/>
  <c r="DK50" i="4"/>
  <c r="DO50" i="4"/>
  <c r="CP50" i="4"/>
  <c r="CN50" i="4"/>
  <c r="CO50" i="4"/>
  <c r="CM50" i="4"/>
  <c r="CQ50" i="4"/>
  <c r="DL46" i="4"/>
  <c r="DM46" i="4"/>
  <c r="DN46" i="4"/>
  <c r="DK46" i="4"/>
  <c r="DO46" i="4"/>
  <c r="CP46" i="4"/>
  <c r="CN46" i="4"/>
  <c r="CO46" i="4"/>
  <c r="CQ46" i="4"/>
  <c r="CM46" i="4"/>
  <c r="DK38" i="4"/>
  <c r="DO38" i="4"/>
  <c r="DL38" i="4"/>
  <c r="DM38" i="4"/>
  <c r="DN38" i="4"/>
  <c r="CO38" i="4"/>
  <c r="CM38" i="4"/>
  <c r="CQ38" i="4"/>
  <c r="CN38" i="4"/>
  <c r="CP38" i="4"/>
  <c r="DK32" i="4"/>
  <c r="DN32" i="4"/>
  <c r="CM32" i="4"/>
  <c r="CQ32" i="4"/>
  <c r="CP32" i="4"/>
  <c r="DM32" i="4"/>
  <c r="DL32" i="4"/>
  <c r="DO32" i="4"/>
  <c r="CO32" i="4"/>
  <c r="CN32" i="4"/>
  <c r="CD59" i="4"/>
  <c r="BR59" i="4"/>
  <c r="BO59" i="4"/>
  <c r="BS59" i="4"/>
  <c r="BP59" i="4"/>
  <c r="BQ59" i="4"/>
  <c r="AR59" i="4"/>
  <c r="AS59" i="4"/>
  <c r="AT59" i="4"/>
  <c r="AQ59" i="4"/>
  <c r="AU59" i="4"/>
  <c r="CD48" i="4"/>
  <c r="BP48" i="4"/>
  <c r="BO48" i="4"/>
  <c r="BS48" i="4"/>
  <c r="BQ48" i="4"/>
  <c r="AT48" i="4"/>
  <c r="BR48" i="4"/>
  <c r="AQ48" i="4"/>
  <c r="AU48" i="4"/>
  <c r="AR48" i="4"/>
  <c r="AS48" i="4"/>
  <c r="BP40" i="4"/>
  <c r="BO40" i="4"/>
  <c r="BS40" i="4"/>
  <c r="BQ40" i="4"/>
  <c r="AT40" i="4"/>
  <c r="BR40" i="4"/>
  <c r="AQ40" i="4"/>
  <c r="AU40" i="4"/>
  <c r="AR40" i="4"/>
  <c r="AS40" i="4"/>
  <c r="BR34" i="4"/>
  <c r="AS34" i="4"/>
  <c r="AT34" i="4"/>
  <c r="BP34" i="4"/>
  <c r="BQ34" i="4"/>
  <c r="AR34" i="4"/>
  <c r="BS34" i="4"/>
  <c r="BO34" i="4"/>
  <c r="AU34" i="4"/>
  <c r="AQ34" i="4"/>
  <c r="DO16" i="4"/>
  <c r="DK16" i="4"/>
  <c r="DM16" i="4"/>
  <c r="DN16" i="4"/>
  <c r="CP16" i="4"/>
  <c r="CN16" i="4"/>
  <c r="CO16" i="4"/>
  <c r="CM16" i="4"/>
  <c r="CQ16" i="4"/>
  <c r="DL16" i="4"/>
  <c r="DL24" i="4"/>
  <c r="DM24" i="4"/>
  <c r="DN24" i="4"/>
  <c r="CP24" i="4"/>
  <c r="CN24" i="4"/>
  <c r="CO24" i="4"/>
  <c r="DO24" i="4"/>
  <c r="CQ24" i="4"/>
  <c r="DK24" i="4"/>
  <c r="CM24" i="4"/>
  <c r="BP14" i="4"/>
  <c r="BQ14" i="4"/>
  <c r="BR14" i="4"/>
  <c r="BO14" i="4"/>
  <c r="BS14" i="4"/>
  <c r="AS14" i="4"/>
  <c r="AT14" i="4"/>
  <c r="AQ14" i="4"/>
  <c r="AU14" i="4"/>
  <c r="AR14" i="4"/>
  <c r="BQ17" i="4"/>
  <c r="BR17" i="4"/>
  <c r="BO17" i="4"/>
  <c r="BS17" i="4"/>
  <c r="BP17" i="4"/>
  <c r="AT17" i="4"/>
  <c r="AQ17" i="4"/>
  <c r="AU17" i="4"/>
  <c r="AR17" i="4"/>
  <c r="AS17" i="4"/>
  <c r="DK60" i="4"/>
  <c r="DO60" i="4"/>
  <c r="DL60" i="4"/>
  <c r="DM60" i="4"/>
  <c r="DN60" i="4"/>
  <c r="CO60" i="4"/>
  <c r="CM60" i="4"/>
  <c r="CQ60" i="4"/>
  <c r="CN60" i="4"/>
  <c r="CP60" i="4"/>
  <c r="DM49" i="4"/>
  <c r="DN49" i="4"/>
  <c r="DK49" i="4"/>
  <c r="DO49" i="4"/>
  <c r="DL49" i="4"/>
  <c r="CM49" i="4"/>
  <c r="CQ49" i="4"/>
  <c r="CO49" i="4"/>
  <c r="CP49" i="4"/>
  <c r="CN49" i="4"/>
  <c r="DM45" i="4"/>
  <c r="DN45" i="4"/>
  <c r="DK45" i="4"/>
  <c r="DO45" i="4"/>
  <c r="DL45" i="4"/>
  <c r="CM45" i="4"/>
  <c r="CQ45" i="4"/>
  <c r="CO45" i="4"/>
  <c r="CP45" i="4"/>
  <c r="CN45" i="4"/>
  <c r="DK35" i="4"/>
  <c r="DL35" i="4"/>
  <c r="DO35" i="4"/>
  <c r="CN35" i="4"/>
  <c r="CM35" i="4"/>
  <c r="CQ35" i="4"/>
  <c r="DN35" i="4"/>
  <c r="DM35" i="4"/>
  <c r="CP35" i="4"/>
  <c r="CO35" i="4"/>
  <c r="CD52" i="4"/>
  <c r="BQ52" i="4"/>
  <c r="BP52" i="4"/>
  <c r="BR52" i="4"/>
  <c r="BS52" i="4"/>
  <c r="BO52" i="4"/>
  <c r="AQ52" i="4"/>
  <c r="AU52" i="4"/>
  <c r="AR52" i="4"/>
  <c r="AS52" i="4"/>
  <c r="AT52" i="4"/>
  <c r="CD47" i="4"/>
  <c r="BQ47" i="4"/>
  <c r="BP47" i="4"/>
  <c r="AQ47" i="4"/>
  <c r="AU47" i="4"/>
  <c r="BO47" i="4"/>
  <c r="AR47" i="4"/>
  <c r="BR47" i="4"/>
  <c r="AS47" i="4"/>
  <c r="BS47" i="4"/>
  <c r="AT47" i="4"/>
  <c r="CD39" i="4"/>
  <c r="BQ39" i="4"/>
  <c r="BP39" i="4"/>
  <c r="AQ39" i="4"/>
  <c r="AU39" i="4"/>
  <c r="BO39" i="4"/>
  <c r="AR39" i="4"/>
  <c r="BR39" i="4"/>
  <c r="AS39" i="4"/>
  <c r="BS39" i="4"/>
  <c r="AT39" i="4"/>
  <c r="BS33" i="4"/>
  <c r="BR33" i="4"/>
  <c r="BO33" i="4"/>
  <c r="AS33" i="4"/>
  <c r="BQ33" i="4"/>
  <c r="AT33" i="4"/>
  <c r="AU33" i="4"/>
  <c r="AQ33" i="4"/>
  <c r="AR33" i="4"/>
  <c r="BP33" i="4"/>
  <c r="BQ93" i="4"/>
  <c r="J54" i="43" s="1"/>
  <c r="F54" i="43" s="1"/>
  <c r="BP93" i="4"/>
  <c r="J54" i="44" s="1"/>
  <c r="F54" i="44" s="1"/>
  <c r="AR93" i="4"/>
  <c r="J53" i="44" s="1"/>
  <c r="F53" i="44" s="1"/>
  <c r="BO93" i="4"/>
  <c r="J54" i="45" s="1"/>
  <c r="AS93" i="4"/>
  <c r="J53" i="43" s="1"/>
  <c r="F53" i="43" s="1"/>
  <c r="BR93" i="4"/>
  <c r="J54" i="42" s="1"/>
  <c r="F54" i="42" s="1"/>
  <c r="AT93" i="4"/>
  <c r="J53" i="42" s="1"/>
  <c r="F53" i="42" s="1"/>
  <c r="BS93" i="4"/>
  <c r="J54" i="41" s="1"/>
  <c r="F54" i="41" s="1"/>
  <c r="AQ93" i="4"/>
  <c r="J53" i="45" s="1"/>
  <c r="AU93" i="4"/>
  <c r="DL17" i="4"/>
  <c r="DM17" i="4"/>
  <c r="DN17" i="4"/>
  <c r="CO17" i="4"/>
  <c r="CM17" i="4"/>
  <c r="CN17" i="4"/>
  <c r="CP17" i="4"/>
  <c r="DK17" i="4"/>
  <c r="DO17" i="4"/>
  <c r="CQ17" i="4"/>
  <c r="CD24" i="4"/>
  <c r="BQ24" i="4"/>
  <c r="BR24" i="4"/>
  <c r="BO24" i="4"/>
  <c r="BS24" i="4"/>
  <c r="BP24" i="4"/>
  <c r="AR24" i="4"/>
  <c r="AS24" i="4"/>
  <c r="AT24" i="4"/>
  <c r="AQ24" i="4"/>
  <c r="AU24" i="4"/>
  <c r="BR16" i="4"/>
  <c r="BO16" i="4"/>
  <c r="BS16" i="4"/>
  <c r="BP16" i="4"/>
  <c r="BQ16" i="4"/>
  <c r="AQ16" i="4"/>
  <c r="AU16" i="4"/>
  <c r="AR16" i="4"/>
  <c r="AS16" i="4"/>
  <c r="AT16" i="4"/>
  <c r="DL59" i="4"/>
  <c r="DM59" i="4"/>
  <c r="DN59" i="4"/>
  <c r="DK59" i="4"/>
  <c r="DO59" i="4"/>
  <c r="CP59" i="4"/>
  <c r="CN59" i="4"/>
  <c r="CO59" i="4"/>
  <c r="CM59" i="4"/>
  <c r="CQ59" i="4"/>
  <c r="DN48" i="4"/>
  <c r="DK48" i="4"/>
  <c r="DO48" i="4"/>
  <c r="DL48" i="4"/>
  <c r="DM48" i="4"/>
  <c r="CN48" i="4"/>
  <c r="CP48" i="4"/>
  <c r="CM48" i="4"/>
  <c r="CQ48" i="4"/>
  <c r="CO48" i="4"/>
  <c r="DM40" i="4"/>
  <c r="DN40" i="4"/>
  <c r="DK40" i="4"/>
  <c r="DO40" i="4"/>
  <c r="DL40" i="4"/>
  <c r="CM40" i="4"/>
  <c r="CQ40" i="4"/>
  <c r="CO40" i="4"/>
  <c r="CP40" i="4"/>
  <c r="CN40" i="4"/>
  <c r="DL34" i="4"/>
  <c r="CO34" i="4"/>
  <c r="CN34" i="4"/>
  <c r="DK34" i="4"/>
  <c r="DN34" i="4"/>
  <c r="CQ34" i="4"/>
  <c r="CP34" i="4"/>
  <c r="DM34" i="4"/>
  <c r="CM34" i="4"/>
  <c r="DO34" i="4"/>
  <c r="BR50" i="4"/>
  <c r="BQ50" i="4"/>
  <c r="BO50" i="4"/>
  <c r="BP50" i="4"/>
  <c r="BS50" i="4"/>
  <c r="AR50" i="4"/>
  <c r="AS50" i="4"/>
  <c r="AT50" i="4"/>
  <c r="AQ50" i="4"/>
  <c r="AU50" i="4"/>
  <c r="BR46" i="4"/>
  <c r="BQ46" i="4"/>
  <c r="BS46" i="4"/>
  <c r="AR46" i="4"/>
  <c r="AS46" i="4"/>
  <c r="BO46" i="4"/>
  <c r="AT46" i="4"/>
  <c r="BP46" i="4"/>
  <c r="AQ46" i="4"/>
  <c r="AU46" i="4"/>
  <c r="BR38" i="4"/>
  <c r="BQ38" i="4"/>
  <c r="BS38" i="4"/>
  <c r="AR38" i="4"/>
  <c r="AS38" i="4"/>
  <c r="BO38" i="4"/>
  <c r="AT38" i="4"/>
  <c r="BP38" i="4"/>
  <c r="AQ38" i="4"/>
  <c r="AU38" i="4"/>
  <c r="BO32" i="4"/>
  <c r="BS32" i="4"/>
  <c r="BR32" i="4"/>
  <c r="AS32" i="4"/>
  <c r="AT32" i="4"/>
  <c r="BP32" i="4"/>
  <c r="AQ32" i="4"/>
  <c r="AU32" i="4"/>
  <c r="BQ32" i="4"/>
  <c r="AR32" i="4"/>
  <c r="J26" i="45"/>
  <c r="F26" i="45" s="1"/>
  <c r="CD50" i="4"/>
  <c r="CD49" i="4"/>
  <c r="J10" i="23"/>
  <c r="CD34" i="4"/>
  <c r="CD33" i="4"/>
  <c r="J18" i="28"/>
  <c r="J22" i="28" s="1"/>
  <c r="AC25" i="28"/>
  <c r="F22" i="28"/>
  <c r="H61" i="30" s="1"/>
  <c r="J61" i="30" s="1"/>
  <c r="DJ16" i="4"/>
  <c r="DZ16" i="4"/>
  <c r="DJ24" i="4"/>
  <c r="DZ24" i="4"/>
  <c r="DJ60" i="4"/>
  <c r="DZ60" i="4"/>
  <c r="DJ49" i="4"/>
  <c r="DZ49" i="4"/>
  <c r="DJ45" i="4"/>
  <c r="DZ45" i="4"/>
  <c r="DJ35" i="4"/>
  <c r="DZ35" i="4"/>
  <c r="DJ17" i="4"/>
  <c r="DZ17" i="4"/>
  <c r="DJ59" i="4"/>
  <c r="DZ59" i="4"/>
  <c r="DJ40" i="4"/>
  <c r="DZ40" i="4"/>
  <c r="DJ34" i="4"/>
  <c r="DZ34" i="4"/>
  <c r="DJ21" i="4"/>
  <c r="DZ21" i="4"/>
  <c r="DJ47" i="4"/>
  <c r="DZ47" i="4"/>
  <c r="DJ33" i="4"/>
  <c r="DZ33" i="4"/>
  <c r="DJ48" i="4"/>
  <c r="DZ48" i="4"/>
  <c r="DJ14" i="4"/>
  <c r="DZ14" i="4"/>
  <c r="DJ52" i="4"/>
  <c r="DZ52" i="4"/>
  <c r="DJ39" i="4"/>
  <c r="DZ39" i="4"/>
  <c r="DJ15" i="4"/>
  <c r="DZ15" i="4"/>
  <c r="DJ31" i="4"/>
  <c r="DZ31" i="4"/>
  <c r="DJ50" i="4"/>
  <c r="DZ50" i="4"/>
  <c r="DJ46" i="4"/>
  <c r="DZ46" i="4"/>
  <c r="DJ38" i="4"/>
  <c r="DZ38" i="4"/>
  <c r="DJ32" i="4"/>
  <c r="DZ32" i="4"/>
  <c r="CL16" i="4"/>
  <c r="DB16" i="4"/>
  <c r="CL24" i="4"/>
  <c r="DB24" i="4"/>
  <c r="CL60" i="4"/>
  <c r="DB60" i="4"/>
  <c r="CL45" i="4"/>
  <c r="DB45" i="4"/>
  <c r="CL17" i="4"/>
  <c r="DB17" i="4"/>
  <c r="CL59" i="4"/>
  <c r="DB59" i="4"/>
  <c r="CL48" i="4"/>
  <c r="DB48" i="4"/>
  <c r="CL40" i="4"/>
  <c r="DB40" i="4"/>
  <c r="CL34" i="4"/>
  <c r="DB34" i="4"/>
  <c r="CL49" i="4"/>
  <c r="DB49" i="4"/>
  <c r="CL35" i="4"/>
  <c r="DB35" i="4"/>
  <c r="CL14" i="4"/>
  <c r="DB14" i="4"/>
  <c r="CL21" i="4"/>
  <c r="DB21" i="4"/>
  <c r="CL52" i="4"/>
  <c r="DB52" i="4"/>
  <c r="CL47" i="4"/>
  <c r="DB47" i="4"/>
  <c r="CL39" i="4"/>
  <c r="DB39" i="4"/>
  <c r="CL33" i="4"/>
  <c r="DB33" i="4"/>
  <c r="CL15" i="4"/>
  <c r="DB15" i="4"/>
  <c r="CL31" i="4"/>
  <c r="DB31" i="4"/>
  <c r="CL50" i="4"/>
  <c r="DB50" i="4"/>
  <c r="CL46" i="4"/>
  <c r="DB46" i="4"/>
  <c r="CL38" i="4"/>
  <c r="DB38" i="4"/>
  <c r="CL32" i="4"/>
  <c r="DB32" i="4"/>
  <c r="BN14" i="4"/>
  <c r="CD14" i="4"/>
  <c r="BN17" i="4"/>
  <c r="CD17" i="4"/>
  <c r="CD16" i="4"/>
  <c r="BN46" i="4"/>
  <c r="CD46" i="4"/>
  <c r="BN38" i="4"/>
  <c r="CD38" i="4"/>
  <c r="BN32" i="4"/>
  <c r="CD32" i="4"/>
  <c r="BN15" i="4"/>
  <c r="CD15" i="4"/>
  <c r="CD45" i="4"/>
  <c r="CD35" i="4"/>
  <c r="BN21" i="4"/>
  <c r="CD21" i="4"/>
  <c r="CD40" i="4"/>
  <c r="BF47" i="4"/>
  <c r="BN47" i="4"/>
  <c r="BF33" i="4"/>
  <c r="BN33" i="4"/>
  <c r="BF39" i="4"/>
  <c r="BN39" i="4"/>
  <c r="BF24" i="4"/>
  <c r="BN24" i="4"/>
  <c r="BF50" i="4"/>
  <c r="BN50" i="4"/>
  <c r="BN35" i="4"/>
  <c r="BF52" i="4"/>
  <c r="BN52" i="4"/>
  <c r="BN16" i="4"/>
  <c r="BF60" i="4"/>
  <c r="BN60" i="4"/>
  <c r="BF49" i="4"/>
  <c r="BN49" i="4"/>
  <c r="BN45" i="4"/>
  <c r="BF59" i="4"/>
  <c r="BN59" i="4"/>
  <c r="BF48" i="4"/>
  <c r="BN48" i="4"/>
  <c r="BN40" i="4"/>
  <c r="BF34" i="4"/>
  <c r="BN34" i="4"/>
  <c r="AP14" i="4"/>
  <c r="BF14" i="4"/>
  <c r="BF16" i="4"/>
  <c r="BF46" i="4"/>
  <c r="BF38" i="4"/>
  <c r="BF32" i="4"/>
  <c r="BF45" i="4"/>
  <c r="BF35" i="4"/>
  <c r="AP17" i="4"/>
  <c r="BF17" i="4"/>
  <c r="AP15" i="4"/>
  <c r="BF15" i="4"/>
  <c r="AP21" i="4"/>
  <c r="BF21" i="4"/>
  <c r="BF40" i="4"/>
  <c r="CC52" i="4"/>
  <c r="AP52" i="4"/>
  <c r="BY24" i="4"/>
  <c r="AP24" i="4"/>
  <c r="AP16" i="4"/>
  <c r="CF50" i="4"/>
  <c r="AP50" i="4"/>
  <c r="AP46" i="4"/>
  <c r="AP38" i="4"/>
  <c r="AP32" i="4"/>
  <c r="CC47" i="4"/>
  <c r="AP47" i="4"/>
  <c r="CE39" i="4"/>
  <c r="AP39" i="4"/>
  <c r="CB33" i="4"/>
  <c r="AP33" i="4"/>
  <c r="AM60" i="4"/>
  <c r="AP60" i="4"/>
  <c r="AM49" i="4"/>
  <c r="AP49" i="4"/>
  <c r="AP45" i="4"/>
  <c r="AP35" i="4"/>
  <c r="CB59" i="4"/>
  <c r="AP59" i="4"/>
  <c r="CB48" i="4"/>
  <c r="AP48" i="4"/>
  <c r="AP40" i="4"/>
  <c r="CF34" i="4"/>
  <c r="AP34" i="4"/>
  <c r="J26" i="38"/>
  <c r="F26" i="38" s="1"/>
  <c r="H26" i="38" s="1"/>
  <c r="J24" i="39"/>
  <c r="F24" i="39" s="1"/>
  <c r="H24" i="39" s="1"/>
  <c r="AV33" i="4"/>
  <c r="H95" i="25"/>
  <c r="H30" i="25"/>
  <c r="H21" i="25"/>
  <c r="BA47" i="4"/>
  <c r="J30" i="25"/>
  <c r="BC33" i="4"/>
  <c r="J21" i="25"/>
  <c r="AK33" i="4"/>
  <c r="F160" i="30"/>
  <c r="F133" i="30"/>
  <c r="H48" i="25"/>
  <c r="AV50" i="4"/>
  <c r="AK50" i="4"/>
  <c r="AZ50" i="4"/>
  <c r="BA50" i="4"/>
  <c r="BW50" i="4"/>
  <c r="Z33" i="25"/>
  <c r="H39" i="25"/>
  <c r="H41" i="25" s="1"/>
  <c r="J39" i="25"/>
  <c r="J41" i="25" s="1"/>
  <c r="AM50" i="4"/>
  <c r="BH39" i="4"/>
  <c r="CC50" i="4"/>
  <c r="AK52" i="4"/>
  <c r="AM33" i="4"/>
  <c r="BD39" i="4"/>
  <c r="BL52" i="4"/>
  <c r="J48" i="25"/>
  <c r="AM52" i="4"/>
  <c r="AN33" i="4"/>
  <c r="AV52" i="4"/>
  <c r="AW33" i="4"/>
  <c r="AX47" i="4"/>
  <c r="AY33" i="4"/>
  <c r="AZ52" i="4"/>
  <c r="BE52" i="4"/>
  <c r="BU39" i="4"/>
  <c r="F22" i="29"/>
  <c r="AN52" i="4"/>
  <c r="AW52" i="4"/>
  <c r="AX39" i="4"/>
  <c r="AY52" i="4"/>
  <c r="BA39" i="4"/>
  <c r="BB52" i="4"/>
  <c r="BD33" i="4"/>
  <c r="BE47" i="4"/>
  <c r="BK52" i="4"/>
  <c r="BT52" i="4"/>
  <c r="BV52" i="4"/>
  <c r="BY39" i="4"/>
  <c r="CC39" i="4"/>
  <c r="J19" i="32"/>
  <c r="AC28" i="32"/>
  <c r="AK47" i="4"/>
  <c r="AM47" i="4"/>
  <c r="AN47" i="4"/>
  <c r="AV47" i="4"/>
  <c r="AW47" i="4"/>
  <c r="AX33" i="4"/>
  <c r="AY47" i="4"/>
  <c r="AZ39" i="4"/>
  <c r="BA52" i="4"/>
  <c r="BA33" i="4"/>
  <c r="BB47" i="4"/>
  <c r="BC52" i="4"/>
  <c r="BE39" i="4"/>
  <c r="BG39" i="4"/>
  <c r="BK47" i="4"/>
  <c r="BT33" i="4"/>
  <c r="BZ39" i="4"/>
  <c r="CF47" i="4"/>
  <c r="H94" i="30"/>
  <c r="J94" i="30" s="1"/>
  <c r="AC39" i="34"/>
  <c r="J53" i="26"/>
  <c r="F53" i="26" s="1"/>
  <c r="H53" i="26" s="1"/>
  <c r="AK39" i="4"/>
  <c r="AM39" i="4"/>
  <c r="AN39" i="4"/>
  <c r="AV39" i="4"/>
  <c r="AW39" i="4"/>
  <c r="AX52" i="4"/>
  <c r="AY39" i="4"/>
  <c r="AZ33" i="4"/>
  <c r="BB33" i="4"/>
  <c r="BC47" i="4"/>
  <c r="BD52" i="4"/>
  <c r="BE33" i="4"/>
  <c r="BG33" i="4"/>
  <c r="BI47" i="4"/>
  <c r="BK39" i="4"/>
  <c r="BU47" i="4"/>
  <c r="BZ33" i="4"/>
  <c r="CF33" i="4"/>
  <c r="H10" i="35"/>
  <c r="J24" i="36"/>
  <c r="F24" i="36" s="1"/>
  <c r="J24" i="35"/>
  <c r="F24" i="35" s="1"/>
  <c r="H19" i="29"/>
  <c r="H22" i="29" s="1"/>
  <c r="J19" i="29"/>
  <c r="J22" i="29" s="1"/>
  <c r="J27" i="23"/>
  <c r="F27" i="23" s="1"/>
  <c r="H27" i="23" s="1"/>
  <c r="J26" i="24"/>
  <c r="F26" i="24" s="1"/>
  <c r="H26" i="24" s="1"/>
  <c r="H93" i="20"/>
  <c r="D260" i="20"/>
  <c r="AW50" i="4"/>
  <c r="AX50" i="4"/>
  <c r="AY50" i="4"/>
  <c r="BB24" i="4"/>
  <c r="BX50" i="4"/>
  <c r="BC50" i="4"/>
  <c r="BD50" i="4"/>
  <c r="BT50" i="4"/>
  <c r="CE50" i="4"/>
  <c r="AN50" i="4"/>
  <c r="BB50" i="4"/>
  <c r="BH50" i="4"/>
  <c r="BY50" i="4"/>
  <c r="CA50" i="4"/>
  <c r="H10" i="21"/>
  <c r="H11" i="21" s="1"/>
  <c r="J10" i="24"/>
  <c r="Z37" i="21"/>
  <c r="J53" i="21"/>
  <c r="F53" i="21" s="1"/>
  <c r="Z36" i="21" s="1"/>
  <c r="H39" i="20"/>
  <c r="J39" i="20"/>
  <c r="H32" i="20"/>
  <c r="J32" i="20"/>
  <c r="H96" i="20"/>
  <c r="J96" i="20"/>
  <c r="H32" i="21"/>
  <c r="J31" i="22"/>
  <c r="H31" i="22"/>
  <c r="H47" i="22"/>
  <c r="J47" i="22"/>
  <c r="J30" i="22"/>
  <c r="H30" i="22"/>
  <c r="J91" i="22"/>
  <c r="H91" i="22"/>
  <c r="H20" i="22"/>
  <c r="J20" i="22"/>
  <c r="H25" i="22"/>
  <c r="J25" i="22"/>
  <c r="J24" i="22"/>
  <c r="H24" i="22"/>
  <c r="H26" i="22"/>
  <c r="J26" i="22"/>
  <c r="J10" i="28"/>
  <c r="BI24" i="4"/>
  <c r="BZ24" i="4"/>
  <c r="AK24" i="4"/>
  <c r="BA24" i="4"/>
  <c r="BK22" i="4"/>
  <c r="BD24" i="4"/>
  <c r="BL24" i="4"/>
  <c r="H21" i="34"/>
  <c r="J21" i="34"/>
  <c r="J10" i="29"/>
  <c r="AZ47" i="4"/>
  <c r="BB39" i="4"/>
  <c r="BC39" i="4"/>
  <c r="BD47" i="4"/>
  <c r="BE50" i="4"/>
  <c r="BG50" i="4"/>
  <c r="BH33" i="4"/>
  <c r="BI50" i="4"/>
  <c r="BK50" i="4"/>
  <c r="BL50" i="4"/>
  <c r="BU50" i="4"/>
  <c r="BV50" i="4"/>
  <c r="BX33" i="4"/>
  <c r="BZ50" i="4"/>
  <c r="CB50" i="4"/>
  <c r="AW24" i="4"/>
  <c r="BV24" i="4"/>
  <c r="H19" i="32"/>
  <c r="J24" i="29"/>
  <c r="H43" i="22"/>
  <c r="J43" i="22"/>
  <c r="Z36" i="25"/>
  <c r="J27" i="33"/>
  <c r="F27" i="33" s="1"/>
  <c r="J26" i="32"/>
  <c r="F26" i="32" s="1"/>
  <c r="AC33" i="32" s="1"/>
  <c r="J50" i="25"/>
  <c r="J95" i="25"/>
  <c r="J53" i="22"/>
  <c r="F53" i="22" s="1"/>
  <c r="J26" i="34"/>
  <c r="F26" i="34" s="1"/>
  <c r="AC33" i="34" s="1"/>
  <c r="F41" i="25"/>
  <c r="H430" i="22"/>
  <c r="F97" i="22" s="1"/>
  <c r="CC21" i="4"/>
  <c r="BY21" i="4"/>
  <c r="CE21" i="4"/>
  <c r="BZ21" i="4"/>
  <c r="BV21" i="4"/>
  <c r="BK21" i="4"/>
  <c r="AN21" i="4"/>
  <c r="AY21" i="4"/>
  <c r="BB21" i="4"/>
  <c r="BG21" i="4"/>
  <c r="BU21" i="4"/>
  <c r="CB21" i="4"/>
  <c r="AK22" i="4"/>
  <c r="AM21" i="4"/>
  <c r="AV24" i="4"/>
  <c r="AX21" i="4"/>
  <c r="AZ24" i="4"/>
  <c r="BC24" i="4"/>
  <c r="BE21" i="4"/>
  <c r="BH24" i="4"/>
  <c r="BI22" i="4"/>
  <c r="BW24" i="4"/>
  <c r="CA21" i="4"/>
  <c r="CF24" i="4"/>
  <c r="CA24" i="4"/>
  <c r="CB24" i="4"/>
  <c r="BX24" i="4"/>
  <c r="BT24" i="4"/>
  <c r="AK21" i="4"/>
  <c r="AN24" i="4"/>
  <c r="AW21" i="4"/>
  <c r="AY24" i="4"/>
  <c r="BA21" i="4"/>
  <c r="BD21" i="4"/>
  <c r="BG24" i="4"/>
  <c r="BI21" i="4"/>
  <c r="BL21" i="4"/>
  <c r="BX21" i="4"/>
  <c r="CE24" i="4"/>
  <c r="CB52" i="4"/>
  <c r="AM24" i="4"/>
  <c r="AV21" i="4"/>
  <c r="AX24" i="4"/>
  <c r="AZ21" i="4"/>
  <c r="BC21" i="4"/>
  <c r="BE24" i="4"/>
  <c r="BH21" i="4"/>
  <c r="BK24" i="4"/>
  <c r="BT21" i="4"/>
  <c r="BU24" i="4"/>
  <c r="BW21" i="4"/>
  <c r="CC24" i="4"/>
  <c r="CF21" i="4"/>
  <c r="L430" i="22"/>
  <c r="F50" i="22" s="1"/>
  <c r="H380" i="22"/>
  <c r="H181" i="22"/>
  <c r="F88" i="22" s="1"/>
  <c r="J145" i="22"/>
  <c r="F18" i="22" s="1"/>
  <c r="L143" i="27"/>
  <c r="AN48" i="4"/>
  <c r="BX52" i="4"/>
  <c r="CE47" i="4"/>
  <c r="AK34" i="4"/>
  <c r="AZ34" i="4"/>
  <c r="BY47" i="4"/>
  <c r="AM59" i="4"/>
  <c r="AY59" i="4"/>
  <c r="BG34" i="4"/>
  <c r="BA34" i="4"/>
  <c r="AK48" i="4"/>
  <c r="AN59" i="4"/>
  <c r="AV34" i="4"/>
  <c r="AW34" i="4"/>
  <c r="BA48" i="4"/>
  <c r="BD34" i="4"/>
  <c r="AK59" i="4"/>
  <c r="AM34" i="4"/>
  <c r="AW48" i="4"/>
  <c r="BA59" i="4"/>
  <c r="BB34" i="4"/>
  <c r="BC34" i="4"/>
  <c r="BE48" i="4"/>
  <c r="CA48" i="4"/>
  <c r="AM48" i="4"/>
  <c r="AW59" i="4"/>
  <c r="AX34" i="4"/>
  <c r="AY48" i="4"/>
  <c r="BE59" i="4"/>
  <c r="BI34" i="4"/>
  <c r="BK33" i="4"/>
  <c r="BL47" i="4"/>
  <c r="BT48" i="4"/>
  <c r="BU52" i="4"/>
  <c r="BU33" i="4"/>
  <c r="BV47" i="4"/>
  <c r="BW39" i="4"/>
  <c r="BX47" i="4"/>
  <c r="BY52" i="4"/>
  <c r="CA47" i="4"/>
  <c r="CB47" i="4"/>
  <c r="CC33" i="4"/>
  <c r="CE33" i="4"/>
  <c r="BI52" i="4"/>
  <c r="BI33" i="4"/>
  <c r="BK48" i="4"/>
  <c r="BL39" i="4"/>
  <c r="BT47" i="4"/>
  <c r="BV39" i="4"/>
  <c r="BW33" i="4"/>
  <c r="BX39" i="4"/>
  <c r="CA52" i="4"/>
  <c r="CA33" i="4"/>
  <c r="CB39" i="4"/>
  <c r="CE52" i="4"/>
  <c r="CF48" i="4"/>
  <c r="BI48" i="4"/>
  <c r="BT34" i="4"/>
  <c r="CE34" i="4"/>
  <c r="BX59" i="4"/>
  <c r="CA59" i="4"/>
  <c r="CC34" i="4"/>
  <c r="CF52" i="4"/>
  <c r="CF39" i="4"/>
  <c r="BU48" i="4"/>
  <c r="BW34" i="4"/>
  <c r="CE48" i="4"/>
  <c r="BH34" i="4"/>
  <c r="BI59" i="4"/>
  <c r="BK59" i="4"/>
  <c r="BT59" i="4"/>
  <c r="BU59" i="4"/>
  <c r="BX48" i="4"/>
  <c r="BZ34" i="4"/>
  <c r="CA34" i="4"/>
  <c r="CE59" i="4"/>
  <c r="CF59" i="4"/>
  <c r="BT15" i="4"/>
  <c r="CZ14" i="4"/>
  <c r="CG16" i="4"/>
  <c r="CW21" i="4"/>
  <c r="CF60" i="4"/>
  <c r="BI60" i="4"/>
  <c r="CA60" i="4"/>
  <c r="BA60" i="4"/>
  <c r="CE60" i="4"/>
  <c r="BT60" i="4"/>
  <c r="CF49" i="4"/>
  <c r="BI49" i="4"/>
  <c r="CA49" i="4"/>
  <c r="BA49" i="4"/>
  <c r="CE49" i="4"/>
  <c r="BT49" i="4"/>
  <c r="AW60" i="4"/>
  <c r="AW49" i="4"/>
  <c r="AK60" i="4"/>
  <c r="AK49" i="4"/>
  <c r="BD60" i="4"/>
  <c r="BD49" i="4"/>
  <c r="BG60" i="4"/>
  <c r="BG49" i="4"/>
  <c r="BH60" i="4"/>
  <c r="BH49" i="4"/>
  <c r="BW60" i="4"/>
  <c r="BW49" i="4"/>
  <c r="BZ60" i="4"/>
  <c r="BZ49" i="4"/>
  <c r="CC60" i="4"/>
  <c r="CC49" i="4"/>
  <c r="AV60" i="4"/>
  <c r="AV49" i="4"/>
  <c r="AX60" i="4"/>
  <c r="AX49" i="4"/>
  <c r="AZ60" i="4"/>
  <c r="AZ49" i="4"/>
  <c r="BB60" i="4"/>
  <c r="BB49" i="4"/>
  <c r="BC60" i="4"/>
  <c r="BC49" i="4"/>
  <c r="BD59" i="4"/>
  <c r="BD48" i="4"/>
  <c r="BG59" i="4"/>
  <c r="BG48" i="4"/>
  <c r="BH59" i="4"/>
  <c r="BH48" i="4"/>
  <c r="BL60" i="4"/>
  <c r="BL49" i="4"/>
  <c r="BL34" i="4"/>
  <c r="BV60" i="4"/>
  <c r="BV49" i="4"/>
  <c r="BV34" i="4"/>
  <c r="BW59" i="4"/>
  <c r="BW48" i="4"/>
  <c r="BY60" i="4"/>
  <c r="BY49" i="4"/>
  <c r="BY34" i="4"/>
  <c r="BZ59" i="4"/>
  <c r="BZ48" i="4"/>
  <c r="CB60" i="4"/>
  <c r="CB49" i="4"/>
  <c r="CB34" i="4"/>
  <c r="CC59" i="4"/>
  <c r="CC48" i="4"/>
  <c r="AN60" i="4"/>
  <c r="AN49" i="4"/>
  <c r="AN34" i="4"/>
  <c r="AV59" i="4"/>
  <c r="AV48" i="4"/>
  <c r="AX59" i="4"/>
  <c r="AX48" i="4"/>
  <c r="AY60" i="4"/>
  <c r="AY49" i="4"/>
  <c r="AY34" i="4"/>
  <c r="AZ59" i="4"/>
  <c r="AZ48" i="4"/>
  <c r="BB59" i="4"/>
  <c r="BB48" i="4"/>
  <c r="BC59" i="4"/>
  <c r="BC48" i="4"/>
  <c r="BE60" i="4"/>
  <c r="BE49" i="4"/>
  <c r="BE34" i="4"/>
  <c r="BG52" i="4"/>
  <c r="BG47" i="4"/>
  <c r="BH52" i="4"/>
  <c r="BH47" i="4"/>
  <c r="BI39" i="4"/>
  <c r="BK60" i="4"/>
  <c r="BK49" i="4"/>
  <c r="BK34" i="4"/>
  <c r="BL59" i="4"/>
  <c r="BL48" i="4"/>
  <c r="BL33" i="4"/>
  <c r="BT39" i="4"/>
  <c r="BU60" i="4"/>
  <c r="BU49" i="4"/>
  <c r="BU34" i="4"/>
  <c r="BV59" i="4"/>
  <c r="BV48" i="4"/>
  <c r="BV33" i="4"/>
  <c r="BW52" i="4"/>
  <c r="BW47" i="4"/>
  <c r="BX60" i="4"/>
  <c r="BX49" i="4"/>
  <c r="BX34" i="4"/>
  <c r="BY59" i="4"/>
  <c r="BY48" i="4"/>
  <c r="BY33" i="4"/>
  <c r="BZ52" i="4"/>
  <c r="BZ47" i="4"/>
  <c r="CA39" i="4"/>
  <c r="J347" i="22"/>
  <c r="F41" i="22" s="1"/>
  <c r="Z35" i="22" s="1"/>
  <c r="J339" i="22"/>
  <c r="F40" i="22" s="1"/>
  <c r="Z34" i="22" s="1"/>
  <c r="J145" i="20"/>
  <c r="F19" i="20" s="1"/>
  <c r="J331" i="22"/>
  <c r="F39" i="22" s="1"/>
  <c r="Z33" i="22" s="1"/>
  <c r="J405" i="22"/>
  <c r="F48" i="22" s="1"/>
  <c r="J114" i="22"/>
  <c r="F15" i="22" s="1"/>
  <c r="J123" i="22"/>
  <c r="F16" i="22" s="1"/>
  <c r="J137" i="22"/>
  <c r="F17" i="22" s="1"/>
  <c r="J296" i="22"/>
  <c r="H21" i="30"/>
  <c r="J21" i="30" s="1"/>
  <c r="H19" i="30"/>
  <c r="J19" i="30" s="1"/>
  <c r="J338" i="20"/>
  <c r="D338" i="20"/>
  <c r="D339" i="20" s="1"/>
  <c r="F158" i="30"/>
  <c r="J110" i="30"/>
  <c r="F164" i="30"/>
  <c r="J62" i="30"/>
  <c r="F111" i="30"/>
  <c r="F116" i="30"/>
  <c r="F143" i="30" s="1"/>
  <c r="H22" i="30"/>
  <c r="J22" i="30" s="1"/>
  <c r="F82" i="30"/>
  <c r="F109" i="30" s="1"/>
  <c r="F136" i="30" s="1"/>
  <c r="F78" i="30"/>
  <c r="F105" i="30" s="1"/>
  <c r="F32" i="30"/>
  <c r="H23" i="30"/>
  <c r="J23" i="30" s="1"/>
  <c r="F88" i="30"/>
  <c r="F81" i="30"/>
  <c r="J24" i="30"/>
  <c r="F80" i="30"/>
  <c r="F107" i="30" s="1"/>
  <c r="F134" i="30" s="1"/>
  <c r="H20" i="30"/>
  <c r="J20" i="30" s="1"/>
  <c r="J333" i="20"/>
  <c r="F37" i="20" s="1"/>
  <c r="J253" i="20"/>
  <c r="J252" i="20"/>
  <c r="J251" i="20"/>
  <c r="K48" i="27" l="1"/>
  <c r="J25" i="29"/>
  <c r="F25" i="29" s="1"/>
  <c r="AC30" i="29" s="1"/>
  <c r="J27" i="24"/>
  <c r="J27" i="41"/>
  <c r="J27" i="45"/>
  <c r="J28" i="45" s="1"/>
  <c r="J54" i="26"/>
  <c r="J27" i="42"/>
  <c r="J28" i="42" s="1"/>
  <c r="J27" i="48"/>
  <c r="J27" i="32"/>
  <c r="F27" i="32" s="1"/>
  <c r="AC34" i="32" s="1"/>
  <c r="J94" i="49"/>
  <c r="F94" i="49" s="1"/>
  <c r="J25" i="36"/>
  <c r="F25" i="36" s="1"/>
  <c r="AC30" i="36" s="1"/>
  <c r="J27" i="44"/>
  <c r="J28" i="44" s="1"/>
  <c r="J25" i="35"/>
  <c r="F25" i="35" s="1"/>
  <c r="AC30" i="35" s="1"/>
  <c r="J25" i="37"/>
  <c r="F25" i="37" s="1"/>
  <c r="J25" i="28"/>
  <c r="F25" i="28" s="1"/>
  <c r="AC30" i="28" s="1"/>
  <c r="J54" i="21"/>
  <c r="J27" i="38"/>
  <c r="F27" i="38" s="1"/>
  <c r="J25" i="39"/>
  <c r="F25" i="39" s="1"/>
  <c r="AC30" i="39" s="1"/>
  <c r="J54" i="22"/>
  <c r="F54" i="22" s="1"/>
  <c r="Z39" i="22" s="1"/>
  <c r="J28" i="23"/>
  <c r="J27" i="43"/>
  <c r="J28" i="43" s="1"/>
  <c r="J27" i="34"/>
  <c r="F27" i="34" s="1"/>
  <c r="AC34" i="34" s="1"/>
  <c r="J51" i="25"/>
  <c r="J52" i="25" s="1"/>
  <c r="J28" i="33"/>
  <c r="F28" i="33" s="1"/>
  <c r="H28" i="33" s="1"/>
  <c r="J56" i="20"/>
  <c r="F56" i="20" s="1"/>
  <c r="J27" i="46"/>
  <c r="F27" i="46" s="1"/>
  <c r="H27" i="46" s="1"/>
  <c r="F93" i="49"/>
  <c r="AC34" i="33"/>
  <c r="F28" i="49"/>
  <c r="J24" i="32"/>
  <c r="CK25" i="4"/>
  <c r="CK61" i="4"/>
  <c r="DI61" i="4"/>
  <c r="DI25" i="4"/>
  <c r="BM25" i="4"/>
  <c r="AO25" i="4"/>
  <c r="AC33" i="48"/>
  <c r="H24" i="34"/>
  <c r="H26" i="46"/>
  <c r="F28" i="46"/>
  <c r="F53" i="46"/>
  <c r="H53" i="46" s="1"/>
  <c r="F54" i="46"/>
  <c r="H54" i="46" s="1"/>
  <c r="J6" i="31"/>
  <c r="J24" i="34"/>
  <c r="F11" i="45"/>
  <c r="J10" i="45"/>
  <c r="J11" i="45" s="1"/>
  <c r="DF61" i="4"/>
  <c r="J42" i="46" s="1"/>
  <c r="CH61" i="4"/>
  <c r="J41" i="46" s="1"/>
  <c r="CH25" i="4"/>
  <c r="J34" i="46" s="1"/>
  <c r="DF25" i="4"/>
  <c r="J35" i="46" s="1"/>
  <c r="F35" i="46" s="1"/>
  <c r="AL25" i="4"/>
  <c r="J32" i="46" s="1"/>
  <c r="BJ25" i="4"/>
  <c r="J33" i="46" s="1"/>
  <c r="J23" i="23"/>
  <c r="J25" i="23" s="1"/>
  <c r="J28" i="46"/>
  <c r="H11" i="46"/>
  <c r="J11" i="46"/>
  <c r="F11" i="46"/>
  <c r="AC32" i="23"/>
  <c r="F25" i="23"/>
  <c r="AC33" i="45"/>
  <c r="H26" i="45"/>
  <c r="H27" i="45"/>
  <c r="AC33" i="44"/>
  <c r="H28" i="44"/>
  <c r="H11" i="44"/>
  <c r="F11" i="44"/>
  <c r="J11" i="44"/>
  <c r="H11" i="43"/>
  <c r="J11" i="43"/>
  <c r="F11" i="43"/>
  <c r="AC33" i="42"/>
  <c r="H28" i="42"/>
  <c r="AC33" i="43"/>
  <c r="H28" i="43"/>
  <c r="H11" i="42"/>
  <c r="J11" i="42"/>
  <c r="F11" i="42"/>
  <c r="H11" i="41"/>
  <c r="J11" i="41"/>
  <c r="F11" i="41"/>
  <c r="AC33" i="41"/>
  <c r="DO61" i="4"/>
  <c r="J42" i="41" s="1"/>
  <c r="F42" i="41" s="1"/>
  <c r="AU25" i="4"/>
  <c r="BP25" i="4"/>
  <c r="J33" i="44" s="1"/>
  <c r="F33" i="44" s="1"/>
  <c r="AR25" i="4"/>
  <c r="J32" i="44" s="1"/>
  <c r="F32" i="44" s="1"/>
  <c r="AS25" i="4"/>
  <c r="J32" i="43" s="1"/>
  <c r="F32" i="43" s="1"/>
  <c r="BQ25" i="4"/>
  <c r="J33" i="43" s="1"/>
  <c r="F33" i="43" s="1"/>
  <c r="DN61" i="4"/>
  <c r="J42" i="42" s="1"/>
  <c r="F42" i="42" s="1"/>
  <c r="DL61" i="4"/>
  <c r="J42" i="44" s="1"/>
  <c r="F42" i="44" s="1"/>
  <c r="CQ25" i="4"/>
  <c r="J34" i="41" s="1"/>
  <c r="F34" i="41" s="1"/>
  <c r="BS25" i="4"/>
  <c r="J33" i="41" s="1"/>
  <c r="F33" i="41" s="1"/>
  <c r="CO61" i="4"/>
  <c r="J41" i="43" s="1"/>
  <c r="F41" i="43" s="1"/>
  <c r="CQ61" i="4"/>
  <c r="J41" i="41" s="1"/>
  <c r="F41" i="41" s="1"/>
  <c r="CM61" i="4"/>
  <c r="J41" i="45" s="1"/>
  <c r="DN25" i="4"/>
  <c r="J35" i="42" s="1"/>
  <c r="F35" i="42" s="1"/>
  <c r="CM25" i="4"/>
  <c r="J34" i="45" s="1"/>
  <c r="DL25" i="4"/>
  <c r="J35" i="44" s="1"/>
  <c r="F35" i="44" s="1"/>
  <c r="AQ25" i="4"/>
  <c r="J32" i="45" s="1"/>
  <c r="BO25" i="4"/>
  <c r="J33" i="45" s="1"/>
  <c r="CP61" i="4"/>
  <c r="J41" i="42" s="1"/>
  <c r="F41" i="42" s="1"/>
  <c r="DK61" i="4"/>
  <c r="J42" i="45" s="1"/>
  <c r="DM25" i="4"/>
  <c r="J35" i="43" s="1"/>
  <c r="F35" i="43" s="1"/>
  <c r="CP25" i="4"/>
  <c r="J34" i="42" s="1"/>
  <c r="F34" i="42" s="1"/>
  <c r="DK25" i="4"/>
  <c r="J35" i="45" s="1"/>
  <c r="AT25" i="4"/>
  <c r="J32" i="42" s="1"/>
  <c r="F32" i="42" s="1"/>
  <c r="BR25" i="4"/>
  <c r="J33" i="42" s="1"/>
  <c r="F33" i="42" s="1"/>
  <c r="DM61" i="4"/>
  <c r="J42" i="43" s="1"/>
  <c r="F42" i="43" s="1"/>
  <c r="CN61" i="4"/>
  <c r="J41" i="44" s="1"/>
  <c r="F41" i="44" s="1"/>
  <c r="CO25" i="4"/>
  <c r="J34" i="43" s="1"/>
  <c r="F34" i="43" s="1"/>
  <c r="CN25" i="4"/>
  <c r="J34" i="44" s="1"/>
  <c r="F34" i="44" s="1"/>
  <c r="DO25" i="4"/>
  <c r="J35" i="41" s="1"/>
  <c r="F35" i="41" s="1"/>
  <c r="AC34" i="43"/>
  <c r="F28" i="43"/>
  <c r="AC34" i="42"/>
  <c r="F28" i="42"/>
  <c r="AC34" i="41"/>
  <c r="AC34" i="45"/>
  <c r="F28" i="45"/>
  <c r="AC34" i="44"/>
  <c r="F28" i="44"/>
  <c r="DJ61" i="4"/>
  <c r="J42" i="38" s="1"/>
  <c r="DZ61" i="4"/>
  <c r="DZ25" i="4"/>
  <c r="DJ25" i="4"/>
  <c r="CL61" i="4"/>
  <c r="J41" i="38" s="1"/>
  <c r="CL25" i="4"/>
  <c r="BN25" i="4"/>
  <c r="DB25" i="4"/>
  <c r="DB61" i="4"/>
  <c r="CD25" i="4"/>
  <c r="AP25" i="4"/>
  <c r="BF25" i="4"/>
  <c r="H10" i="38"/>
  <c r="H11" i="38" s="1"/>
  <c r="J10" i="38"/>
  <c r="J11" i="38" s="1"/>
  <c r="H27" i="38"/>
  <c r="H10" i="39"/>
  <c r="H11" i="39" s="1"/>
  <c r="J10" i="39"/>
  <c r="J11" i="39" s="1"/>
  <c r="J26" i="39"/>
  <c r="H25" i="39"/>
  <c r="F11" i="39"/>
  <c r="F11" i="38"/>
  <c r="AC33" i="38"/>
  <c r="H111" i="30"/>
  <c r="J111" i="30" s="1"/>
  <c r="F138" i="30"/>
  <c r="F159" i="30"/>
  <c r="F132" i="30"/>
  <c r="AC34" i="38"/>
  <c r="F28" i="24"/>
  <c r="H53" i="30" s="1"/>
  <c r="J10" i="36"/>
  <c r="J11" i="36" s="1"/>
  <c r="H10" i="36"/>
  <c r="H11" i="36" s="1"/>
  <c r="J24" i="37"/>
  <c r="J93" i="20"/>
  <c r="J10" i="37"/>
  <c r="J11" i="37" s="1"/>
  <c r="F11" i="37"/>
  <c r="J25" i="30"/>
  <c r="J32" i="30" s="1"/>
  <c r="J24" i="28"/>
  <c r="Z37" i="24"/>
  <c r="H24" i="35"/>
  <c r="AC29" i="35"/>
  <c r="H24" i="36"/>
  <c r="AC29" i="36"/>
  <c r="H25" i="36"/>
  <c r="H25" i="35"/>
  <c r="J26" i="35"/>
  <c r="H28" i="23"/>
  <c r="AC35" i="23"/>
  <c r="H11" i="35"/>
  <c r="J10" i="35"/>
  <c r="J11" i="35" s="1"/>
  <c r="F11" i="35"/>
  <c r="F11" i="36"/>
  <c r="F55" i="21"/>
  <c r="J10" i="21"/>
  <c r="J11" i="21" s="1"/>
  <c r="F11" i="21"/>
  <c r="J339" i="20"/>
  <c r="J343" i="20" s="1"/>
  <c r="F38" i="20" s="1"/>
  <c r="J260" i="20"/>
  <c r="J266" i="20" s="1"/>
  <c r="F31" i="20" s="1"/>
  <c r="D261" i="20"/>
  <c r="Z36" i="24"/>
  <c r="H10" i="24"/>
  <c r="H11" i="24" s="1"/>
  <c r="F11" i="24"/>
  <c r="J11" i="24"/>
  <c r="H53" i="21"/>
  <c r="H10" i="23"/>
  <c r="H11" i="23" s="1"/>
  <c r="J11" i="23"/>
  <c r="F11" i="23"/>
  <c r="H54" i="21"/>
  <c r="J55" i="21"/>
  <c r="H36" i="20"/>
  <c r="J36" i="20"/>
  <c r="J37" i="20"/>
  <c r="H37" i="20"/>
  <c r="J19" i="20"/>
  <c r="H19" i="20"/>
  <c r="H41" i="22"/>
  <c r="J41" i="22"/>
  <c r="J18" i="22"/>
  <c r="H18" i="22"/>
  <c r="J50" i="22"/>
  <c r="H50" i="22"/>
  <c r="J17" i="22"/>
  <c r="H17" i="22"/>
  <c r="J16" i="22"/>
  <c r="H16" i="22"/>
  <c r="F36" i="22"/>
  <c r="Z30" i="22" s="1"/>
  <c r="H15" i="22"/>
  <c r="J15" i="22"/>
  <c r="H97" i="22"/>
  <c r="J97" i="22"/>
  <c r="J48" i="22"/>
  <c r="H48" i="22"/>
  <c r="F94" i="22"/>
  <c r="F98" i="22" s="1"/>
  <c r="H109" i="30" s="1"/>
  <c r="J109" i="30" s="1"/>
  <c r="H88" i="22"/>
  <c r="J88" i="22"/>
  <c r="H10" i="22"/>
  <c r="H11" i="22" s="1"/>
  <c r="H24" i="32"/>
  <c r="F24" i="29"/>
  <c r="H25" i="29"/>
  <c r="J40" i="22"/>
  <c r="H40" i="22"/>
  <c r="H39" i="22"/>
  <c r="J39" i="22"/>
  <c r="F50" i="25"/>
  <c r="Z35" i="25" s="1"/>
  <c r="H26" i="34"/>
  <c r="Z38" i="22"/>
  <c r="H53" i="22"/>
  <c r="H27" i="33"/>
  <c r="H51" i="25"/>
  <c r="H10" i="29"/>
  <c r="H11" i="29" s="1"/>
  <c r="J11" i="29"/>
  <c r="F11" i="29"/>
  <c r="H26" i="32"/>
  <c r="H10" i="25"/>
  <c r="H11" i="25" s="1"/>
  <c r="J10" i="25"/>
  <c r="J11" i="25" s="1"/>
  <c r="F108" i="30"/>
  <c r="H108" i="30" s="1"/>
  <c r="F24" i="34"/>
  <c r="J11" i="28"/>
  <c r="F11" i="28"/>
  <c r="F11" i="25"/>
  <c r="DP15" i="4"/>
  <c r="F411" i="22"/>
  <c r="J411" i="22" s="1"/>
  <c r="J417" i="22" s="1"/>
  <c r="F49" i="22" s="1"/>
  <c r="DU24" i="4"/>
  <c r="CW24" i="4"/>
  <c r="CJ21" i="4"/>
  <c r="DH21" i="4"/>
  <c r="AZ17" i="4"/>
  <c r="BX17" i="4"/>
  <c r="DT17" i="4"/>
  <c r="CV17" i="4"/>
  <c r="DH24" i="4"/>
  <c r="CJ24" i="4"/>
  <c r="CG22" i="4"/>
  <c r="DE22" i="4"/>
  <c r="AN17" i="4"/>
  <c r="DH17" i="4"/>
  <c r="CJ17" i="4"/>
  <c r="BL17" i="4"/>
  <c r="CS15" i="4"/>
  <c r="AW15" i="4"/>
  <c r="DQ15" i="4"/>
  <c r="BU15" i="4"/>
  <c r="DT24" i="4"/>
  <c r="CV24" i="4"/>
  <c r="DV21" i="4"/>
  <c r="CX21" i="4"/>
  <c r="BD16" i="4"/>
  <c r="DX16" i="4"/>
  <c r="CB16" i="4"/>
  <c r="CZ16" i="4"/>
  <c r="BH14" i="4"/>
  <c r="CF14" i="4"/>
  <c r="DD14" i="4"/>
  <c r="BX15" i="4"/>
  <c r="DT15" i="4"/>
  <c r="CV15" i="4"/>
  <c r="AZ15" i="4"/>
  <c r="CY24" i="4"/>
  <c r="DW24" i="4"/>
  <c r="DY21" i="4"/>
  <c r="DA21" i="4"/>
  <c r="DD16" i="4"/>
  <c r="EB16" i="4"/>
  <c r="BH16" i="4"/>
  <c r="CF16" i="4"/>
  <c r="AK14" i="4"/>
  <c r="CG14" i="4"/>
  <c r="DE14" i="4"/>
  <c r="BI14" i="4"/>
  <c r="AW17" i="4"/>
  <c r="BU17" i="4"/>
  <c r="CS17" i="4"/>
  <c r="DQ17" i="4"/>
  <c r="DS14" i="4"/>
  <c r="BW14" i="4"/>
  <c r="CU14" i="4"/>
  <c r="AY14" i="4"/>
  <c r="CX24" i="4"/>
  <c r="DV24" i="4"/>
  <c r="DX21" i="4"/>
  <c r="CZ21" i="4"/>
  <c r="CE16" i="4"/>
  <c r="EA16" i="4"/>
  <c r="DC16" i="4"/>
  <c r="BG16" i="4"/>
  <c r="BX14" i="4"/>
  <c r="DT14" i="4"/>
  <c r="AZ14" i="4"/>
  <c r="CV14" i="4"/>
  <c r="DG15" i="4"/>
  <c r="AM15" i="4"/>
  <c r="CI15" i="4"/>
  <c r="BK15" i="4"/>
  <c r="DR14" i="4"/>
  <c r="BV14" i="4"/>
  <c r="AX14" i="4"/>
  <c r="CT14" i="4"/>
  <c r="DE21" i="4"/>
  <c r="CG21" i="4"/>
  <c r="DU21" i="4"/>
  <c r="CT15" i="4"/>
  <c r="AX15" i="4"/>
  <c r="BV15" i="4"/>
  <c r="DR15" i="4"/>
  <c r="DG22" i="4"/>
  <c r="CI22" i="4"/>
  <c r="DD21" i="4"/>
  <c r="EB21" i="4"/>
  <c r="CT17" i="4"/>
  <c r="DR17" i="4"/>
  <c r="AX17" i="4"/>
  <c r="BV17" i="4"/>
  <c r="CI14" i="4"/>
  <c r="BK14" i="4"/>
  <c r="DG14" i="4"/>
  <c r="AM14" i="4"/>
  <c r="BI15" i="4"/>
  <c r="CG15" i="4"/>
  <c r="DE15" i="4"/>
  <c r="AK15" i="4"/>
  <c r="DP24" i="4"/>
  <c r="CR24" i="4"/>
  <c r="CT21" i="4"/>
  <c r="DR21" i="4"/>
  <c r="AZ16" i="4"/>
  <c r="DT16" i="4"/>
  <c r="CV16" i="4"/>
  <c r="BX16" i="4"/>
  <c r="DW14" i="4"/>
  <c r="BC14" i="4"/>
  <c r="CA14" i="4"/>
  <c r="CY14" i="4"/>
  <c r="CF17" i="4"/>
  <c r="BH17" i="4"/>
  <c r="EB17" i="4"/>
  <c r="DD17" i="4"/>
  <c r="CA16" i="4"/>
  <c r="DW16" i="4"/>
  <c r="BC16" i="4"/>
  <c r="CY16" i="4"/>
  <c r="CE14" i="4"/>
  <c r="DC14" i="4"/>
  <c r="EA14" i="4"/>
  <c r="BG14" i="4"/>
  <c r="AK17" i="4"/>
  <c r="DE17" i="4"/>
  <c r="BI17" i="4"/>
  <c r="CG17" i="4"/>
  <c r="DH15" i="4"/>
  <c r="AN15" i="4"/>
  <c r="CJ15" i="4"/>
  <c r="BL15" i="4"/>
  <c r="DR24" i="4"/>
  <c r="CT24" i="4"/>
  <c r="CV21" i="4"/>
  <c r="DT21" i="4"/>
  <c r="DV16" i="4"/>
  <c r="BB16" i="4"/>
  <c r="BZ16" i="4"/>
  <c r="CX16" i="4"/>
  <c r="CC13" i="4"/>
  <c r="DA14" i="4"/>
  <c r="BE14" i="4"/>
  <c r="DY14" i="4"/>
  <c r="CE15" i="4"/>
  <c r="BG15" i="4"/>
  <c r="EA15" i="4"/>
  <c r="DC15" i="4"/>
  <c r="CC16" i="4"/>
  <c r="DA16" i="4"/>
  <c r="BE16" i="4"/>
  <c r="DY16" i="4"/>
  <c r="AW16" i="4"/>
  <c r="CS16" i="4"/>
  <c r="DQ16" i="4"/>
  <c r="BU16" i="4"/>
  <c r="CG24" i="4"/>
  <c r="DE24" i="4"/>
  <c r="DY24" i="4"/>
  <c r="DA24" i="4"/>
  <c r="CS21" i="4"/>
  <c r="DQ21" i="4"/>
  <c r="DG21" i="4"/>
  <c r="CI21" i="4"/>
  <c r="CR16" i="4"/>
  <c r="BT16" i="4"/>
  <c r="DP16" i="4"/>
  <c r="AV16" i="4"/>
  <c r="DS24" i="4"/>
  <c r="CU24" i="4"/>
  <c r="BC17" i="4"/>
  <c r="CY17" i="4"/>
  <c r="CA17" i="4"/>
  <c r="DW17" i="4"/>
  <c r="DA15" i="4"/>
  <c r="CC15" i="4"/>
  <c r="BE15" i="4"/>
  <c r="DY15" i="4"/>
  <c r="DS15" i="4"/>
  <c r="AY15" i="4"/>
  <c r="BW15" i="4"/>
  <c r="CU15" i="4"/>
  <c r="CX14" i="4"/>
  <c r="BZ14" i="4"/>
  <c r="BB14" i="4"/>
  <c r="DV14" i="4"/>
  <c r="DC17" i="4"/>
  <c r="BG17" i="4"/>
  <c r="EA17" i="4"/>
  <c r="CE17" i="4"/>
  <c r="DG24" i="4"/>
  <c r="CI24" i="4"/>
  <c r="CR21" i="4"/>
  <c r="DP21" i="4"/>
  <c r="CT16" i="4"/>
  <c r="AX16" i="4"/>
  <c r="BV16" i="4"/>
  <c r="DR16" i="4"/>
  <c r="CW14" i="4"/>
  <c r="BY14" i="4"/>
  <c r="BA14" i="4"/>
  <c r="DU14" i="4"/>
  <c r="DA17" i="4"/>
  <c r="CC17" i="4"/>
  <c r="DY17" i="4"/>
  <c r="BE17" i="4"/>
  <c r="EB15" i="4"/>
  <c r="CF15" i="4"/>
  <c r="DD15" i="4"/>
  <c r="BH15" i="4"/>
  <c r="DX17" i="4"/>
  <c r="BD17" i="4"/>
  <c r="CB17" i="4"/>
  <c r="CZ17" i="4"/>
  <c r="CS24" i="4"/>
  <c r="DQ24" i="4"/>
  <c r="DU16" i="4"/>
  <c r="BA16" i="4"/>
  <c r="BY16" i="4"/>
  <c r="CW16" i="4"/>
  <c r="CJ16" i="4"/>
  <c r="AN16" i="4"/>
  <c r="BL16" i="4"/>
  <c r="CY21" i="4"/>
  <c r="DW21" i="4"/>
  <c r="BT17" i="4"/>
  <c r="CR17" i="4"/>
  <c r="DP17" i="4"/>
  <c r="AV17" i="4"/>
  <c r="BB15" i="4"/>
  <c r="DV15" i="4"/>
  <c r="BZ15" i="4"/>
  <c r="CX15" i="4"/>
  <c r="AN14" i="4"/>
  <c r="BL14" i="4"/>
  <c r="CJ14" i="4"/>
  <c r="DH14" i="4"/>
  <c r="DS16" i="4"/>
  <c r="BW16" i="4"/>
  <c r="AY16" i="4"/>
  <c r="CU16" i="4"/>
  <c r="BA15" i="4"/>
  <c r="CW15" i="4"/>
  <c r="BY15" i="4"/>
  <c r="DU15" i="4"/>
  <c r="CZ24" i="4"/>
  <c r="DX24" i="4"/>
  <c r="EA21" i="4"/>
  <c r="DC21" i="4"/>
  <c r="DV17" i="4"/>
  <c r="BB17" i="4"/>
  <c r="CX17" i="4"/>
  <c r="BZ17" i="4"/>
  <c r="CZ15" i="4"/>
  <c r="BD15" i="4"/>
  <c r="DX15" i="4"/>
  <c r="CB15" i="4"/>
  <c r="EB24" i="4"/>
  <c r="DD24" i="4"/>
  <c r="DG16" i="4"/>
  <c r="CI16" i="4"/>
  <c r="BK16" i="4"/>
  <c r="AM16" i="4"/>
  <c r="DQ14" i="4"/>
  <c r="BU14" i="4"/>
  <c r="CS14" i="4"/>
  <c r="AW14" i="4"/>
  <c r="DS21" i="4"/>
  <c r="CU21" i="4"/>
  <c r="DU17" i="4"/>
  <c r="BY17" i="4"/>
  <c r="CW17" i="4"/>
  <c r="BA17" i="4"/>
  <c r="BC15" i="4"/>
  <c r="CY15" i="4"/>
  <c r="CA15" i="4"/>
  <c r="DW15" i="4"/>
  <c r="EA24" i="4"/>
  <c r="DC24" i="4"/>
  <c r="CR14" i="4"/>
  <c r="DP14" i="4"/>
  <c r="AV14" i="4"/>
  <c r="BT14" i="4"/>
  <c r="AY17" i="4"/>
  <c r="CU17" i="4"/>
  <c r="DS17" i="4"/>
  <c r="BW17" i="4"/>
  <c r="AM17" i="4"/>
  <c r="BK17" i="4"/>
  <c r="DG17" i="4"/>
  <c r="CI17" i="4"/>
  <c r="EB14" i="4"/>
  <c r="DH16" i="4"/>
  <c r="CB14" i="4"/>
  <c r="BD14" i="4"/>
  <c r="DX14" i="4"/>
  <c r="AK16" i="4"/>
  <c r="DE16" i="4"/>
  <c r="BI16" i="4"/>
  <c r="CR15" i="4"/>
  <c r="AV15" i="4"/>
  <c r="F353" i="22"/>
  <c r="J353" i="22" s="1"/>
  <c r="J359" i="22" s="1"/>
  <c r="F42" i="22" s="1"/>
  <c r="AJ68" i="4"/>
  <c r="AJ89" i="4"/>
  <c r="AJ32" i="4"/>
  <c r="AJ17" i="4"/>
  <c r="AJ50" i="4"/>
  <c r="AJ40" i="4"/>
  <c r="AJ46" i="4"/>
  <c r="AJ31" i="4"/>
  <c r="AJ45" i="4"/>
  <c r="AJ22" i="4"/>
  <c r="AJ15" i="4"/>
  <c r="AJ24" i="4"/>
  <c r="AJ35" i="4"/>
  <c r="AJ21" i="4"/>
  <c r="AJ60" i="4"/>
  <c r="AJ59" i="4"/>
  <c r="AJ49" i="4"/>
  <c r="AJ48" i="4"/>
  <c r="AJ52" i="4"/>
  <c r="AJ47" i="4"/>
  <c r="AJ38" i="4"/>
  <c r="AJ67" i="4"/>
  <c r="AJ33" i="4"/>
  <c r="AJ39" i="4"/>
  <c r="AJ34" i="4"/>
  <c r="AJ71" i="4"/>
  <c r="AJ79" i="4"/>
  <c r="AJ76" i="4"/>
  <c r="AJ75" i="4"/>
  <c r="AJ74" i="4"/>
  <c r="AJ73" i="4"/>
  <c r="AJ93" i="4"/>
  <c r="AJ72" i="4"/>
  <c r="AJ70" i="4"/>
  <c r="AJ69" i="4"/>
  <c r="AJ88" i="4"/>
  <c r="AJ80" i="4"/>
  <c r="F151" i="22"/>
  <c r="J151" i="22" s="1"/>
  <c r="J105" i="30"/>
  <c r="J107" i="30"/>
  <c r="F161" i="30"/>
  <c r="F165" i="30"/>
  <c r="F115" i="30"/>
  <c r="F163" i="30"/>
  <c r="F170" i="30"/>
  <c r="J116" i="30"/>
  <c r="F34" i="30"/>
  <c r="J55" i="20"/>
  <c r="F55" i="20" s="1"/>
  <c r="J11" i="22"/>
  <c r="F11" i="22"/>
  <c r="J254" i="20"/>
  <c r="F30" i="20" s="1"/>
  <c r="F49" i="20" s="1"/>
  <c r="AC34" i="46" l="1"/>
  <c r="J29" i="33"/>
  <c r="J28" i="32"/>
  <c r="J55" i="26"/>
  <c r="F54" i="26"/>
  <c r="F55" i="26" s="1"/>
  <c r="J26" i="36"/>
  <c r="F29" i="33"/>
  <c r="F30" i="49" s="1"/>
  <c r="H27" i="34"/>
  <c r="J26" i="29"/>
  <c r="H27" i="32"/>
  <c r="H28" i="32" s="1"/>
  <c r="F28" i="32"/>
  <c r="H42" i="30" s="1"/>
  <c r="J42" i="30" s="1"/>
  <c r="J95" i="49"/>
  <c r="F29" i="49"/>
  <c r="AC35" i="33"/>
  <c r="F27" i="48"/>
  <c r="J28" i="48"/>
  <c r="J43" i="30" s="1"/>
  <c r="H93" i="49"/>
  <c r="J28" i="49"/>
  <c r="AC100" i="49"/>
  <c r="F95" i="49"/>
  <c r="J30" i="49" s="1"/>
  <c r="J29" i="49"/>
  <c r="H94" i="49"/>
  <c r="AC101" i="49"/>
  <c r="J49" i="20"/>
  <c r="AC30" i="20"/>
  <c r="H49" i="20"/>
  <c r="J29" i="23"/>
  <c r="J12" i="31"/>
  <c r="J7" i="31"/>
  <c r="J8" i="31" s="1"/>
  <c r="F34" i="46"/>
  <c r="H34" i="46" s="1"/>
  <c r="F41" i="46"/>
  <c r="H41" i="46" s="1"/>
  <c r="F42" i="46"/>
  <c r="H42" i="46" s="1"/>
  <c r="F33" i="46"/>
  <c r="H33" i="46" s="1"/>
  <c r="F32" i="46"/>
  <c r="H32" i="46" s="1"/>
  <c r="H35" i="46"/>
  <c r="H28" i="46"/>
  <c r="AC33" i="46"/>
  <c r="H39" i="30"/>
  <c r="J39" i="30" s="1"/>
  <c r="H28" i="45"/>
  <c r="J46" i="30"/>
  <c r="F73" i="30"/>
  <c r="F72" i="30"/>
  <c r="J45" i="30"/>
  <c r="H26" i="39"/>
  <c r="AC29" i="39"/>
  <c r="F26" i="39"/>
  <c r="J108" i="30"/>
  <c r="F135" i="30"/>
  <c r="H52" i="30"/>
  <c r="H115" i="30"/>
  <c r="J115" i="30" s="1"/>
  <c r="F142" i="30"/>
  <c r="H28" i="24"/>
  <c r="J28" i="24"/>
  <c r="H55" i="21"/>
  <c r="F24" i="37"/>
  <c r="F26" i="37" s="1"/>
  <c r="J26" i="37"/>
  <c r="Z36" i="22"/>
  <c r="H42" i="22"/>
  <c r="J42" i="22"/>
  <c r="F162" i="30"/>
  <c r="Z38" i="26"/>
  <c r="H24" i="29"/>
  <c r="AC29" i="29"/>
  <c r="F26" i="36"/>
  <c r="H59" i="30" s="1"/>
  <c r="J59" i="30" s="1"/>
  <c r="F26" i="35"/>
  <c r="H58" i="30" s="1"/>
  <c r="J58" i="30" s="1"/>
  <c r="H55" i="20"/>
  <c r="AC33" i="20"/>
  <c r="H56" i="20"/>
  <c r="AC34" i="20"/>
  <c r="F29" i="23"/>
  <c r="AC34" i="23"/>
  <c r="J53" i="30"/>
  <c r="H29" i="23"/>
  <c r="H30" i="20"/>
  <c r="J30" i="20"/>
  <c r="H31" i="20"/>
  <c r="J31" i="20"/>
  <c r="H38" i="20"/>
  <c r="H40" i="20" s="1"/>
  <c r="J38" i="20"/>
  <c r="J40" i="20" s="1"/>
  <c r="H49" i="22"/>
  <c r="J49" i="22"/>
  <c r="J51" i="22" s="1"/>
  <c r="Z44" i="22"/>
  <c r="J94" i="22"/>
  <c r="J98" i="22" s="1"/>
  <c r="H94" i="22"/>
  <c r="H98" i="22" s="1"/>
  <c r="H36" i="22"/>
  <c r="J36" i="22"/>
  <c r="F52" i="25"/>
  <c r="H50" i="25"/>
  <c r="H52" i="25" s="1"/>
  <c r="H54" i="22"/>
  <c r="F26" i="29"/>
  <c r="H57" i="30" s="1"/>
  <c r="J57" i="30" s="1"/>
  <c r="H26" i="28"/>
  <c r="H29" i="33"/>
  <c r="H28" i="34"/>
  <c r="F28" i="34"/>
  <c r="J28" i="34"/>
  <c r="F51" i="22"/>
  <c r="F44" i="22"/>
  <c r="J157" i="22"/>
  <c r="F169" i="30"/>
  <c r="F40" i="20"/>
  <c r="H41" i="30" l="1"/>
  <c r="J41" i="30" s="1"/>
  <c r="H54" i="26"/>
  <c r="H55" i="26" s="1"/>
  <c r="Z39" i="26"/>
  <c r="H95" i="49"/>
  <c r="H27" i="48"/>
  <c r="H28" i="48" s="1"/>
  <c r="AC34" i="48"/>
  <c r="F28" i="48"/>
  <c r="H43" i="30" s="1"/>
  <c r="J9" i="31"/>
  <c r="J14" i="31"/>
  <c r="F99" i="30"/>
  <c r="F100" i="30"/>
  <c r="F74" i="30"/>
  <c r="J47" i="30"/>
  <c r="F75" i="30"/>
  <c r="J48" i="30"/>
  <c r="H60" i="30"/>
  <c r="J60" i="30" s="1"/>
  <c r="H54" i="30"/>
  <c r="H40" i="30"/>
  <c r="J40" i="30" s="1"/>
  <c r="H56" i="30"/>
  <c r="J56" i="30" s="1"/>
  <c r="H51" i="30"/>
  <c r="J44" i="22"/>
  <c r="H44" i="22"/>
  <c r="H26" i="35"/>
  <c r="H26" i="36"/>
  <c r="F19" i="22"/>
  <c r="H26" i="29"/>
  <c r="H51" i="22"/>
  <c r="J10" i="31" l="1"/>
  <c r="J11" i="31" s="1"/>
  <c r="J15" i="31"/>
  <c r="F154" i="30"/>
  <c r="F127" i="30"/>
  <c r="J100" i="30"/>
  <c r="F101" i="30"/>
  <c r="F153" i="30"/>
  <c r="J99" i="30"/>
  <c r="F126" i="30"/>
  <c r="F102" i="30"/>
  <c r="H19" i="22"/>
  <c r="H21" i="22" s="1"/>
  <c r="H55" i="22" s="1"/>
  <c r="J19" i="22"/>
  <c r="J21" i="22" s="1"/>
  <c r="J55" i="22" s="1"/>
  <c r="F21" i="22"/>
  <c r="F55" i="22" s="1"/>
  <c r="J51" i="30"/>
  <c r="J52" i="30"/>
  <c r="J54" i="30"/>
  <c r="F156" i="30" l="1"/>
  <c r="J102" i="30"/>
  <c r="F129" i="30"/>
  <c r="J129" i="30" s="1"/>
  <c r="F155" i="30"/>
  <c r="J101" i="30"/>
  <c r="F128" i="30"/>
  <c r="H55" i="30"/>
  <c r="J55" i="30" s="1"/>
  <c r="L167" i="20"/>
  <c r="L169" i="20"/>
  <c r="L170" i="20"/>
  <c r="L171" i="20"/>
  <c r="L172" i="20"/>
  <c r="L174" i="20"/>
  <c r="L175" i="20"/>
  <c r="L176" i="20"/>
  <c r="L177" i="20"/>
  <c r="L179" i="20"/>
  <c r="L180" i="20"/>
  <c r="L181" i="20"/>
  <c r="L182" i="20"/>
  <c r="L183" i="20"/>
  <c r="L166" i="20"/>
  <c r="H167" i="20"/>
  <c r="H169" i="20"/>
  <c r="H170" i="20"/>
  <c r="H171" i="20"/>
  <c r="H172" i="20"/>
  <c r="H175" i="20"/>
  <c r="H176" i="20"/>
  <c r="H177" i="20"/>
  <c r="H179" i="20"/>
  <c r="H180" i="20"/>
  <c r="H181" i="20"/>
  <c r="H182" i="20"/>
  <c r="H183" i="20"/>
  <c r="H166" i="20"/>
  <c r="F51" i="20"/>
  <c r="J245" i="20"/>
  <c r="J244" i="20"/>
  <c r="J243" i="20"/>
  <c r="J235" i="20"/>
  <c r="J129" i="20"/>
  <c r="J130" i="20"/>
  <c r="J128" i="20"/>
  <c r="J193" i="20"/>
  <c r="J194" i="20"/>
  <c r="J195" i="20"/>
  <c r="J196" i="20"/>
  <c r="J197" i="20"/>
  <c r="J192" i="20"/>
  <c r="J119" i="20"/>
  <c r="J120" i="20"/>
  <c r="J121" i="20"/>
  <c r="J118" i="20"/>
  <c r="J108" i="20"/>
  <c r="J109" i="20"/>
  <c r="J111" i="20"/>
  <c r="J107" i="20"/>
  <c r="J51" i="20" l="1"/>
  <c r="AC32" i="20"/>
  <c r="H51" i="20"/>
  <c r="H21" i="20"/>
  <c r="J21" i="20"/>
  <c r="F97" i="20"/>
  <c r="D150" i="20"/>
  <c r="J246" i="20"/>
  <c r="J238" i="20"/>
  <c r="F28" i="20" s="1"/>
  <c r="F47" i="20" s="1"/>
  <c r="J198" i="20"/>
  <c r="F25" i="20" s="1"/>
  <c r="J137" i="20"/>
  <c r="F18" i="20" s="1"/>
  <c r="F45" i="20" s="1"/>
  <c r="J122" i="20"/>
  <c r="F17" i="20" s="1"/>
  <c r="J113" i="20"/>
  <c r="F16" i="20" s="1"/>
  <c r="F43" i="20" s="1"/>
  <c r="I76" i="4"/>
  <c r="AO76" i="4" l="1"/>
  <c r="BM76" i="4"/>
  <c r="CK76" i="4"/>
  <c r="DI76" i="4"/>
  <c r="F44" i="20"/>
  <c r="H44" i="20" s="1"/>
  <c r="AC24" i="20"/>
  <c r="J43" i="20"/>
  <c r="H43" i="20"/>
  <c r="AC26" i="20"/>
  <c r="J45" i="20"/>
  <c r="H45" i="20"/>
  <c r="AC28" i="20"/>
  <c r="J47" i="20"/>
  <c r="H47" i="20"/>
  <c r="CH76" i="4"/>
  <c r="BJ76" i="4"/>
  <c r="AL76" i="4"/>
  <c r="AU76" i="4"/>
  <c r="BQ76" i="4"/>
  <c r="AR76" i="4"/>
  <c r="BO76" i="4"/>
  <c r="AS76" i="4"/>
  <c r="BS76" i="4"/>
  <c r="BP76" i="4"/>
  <c r="BR76" i="4"/>
  <c r="AQ76" i="4"/>
  <c r="AT76" i="4"/>
  <c r="DN76" i="4"/>
  <c r="CM76" i="4"/>
  <c r="CQ76" i="4"/>
  <c r="DK76" i="4"/>
  <c r="DO76" i="4"/>
  <c r="CN76" i="4"/>
  <c r="DL76" i="4"/>
  <c r="CO76" i="4"/>
  <c r="DM76" i="4"/>
  <c r="CP76" i="4"/>
  <c r="DO75" i="4"/>
  <c r="CN75" i="4"/>
  <c r="DK75" i="4"/>
  <c r="CO75" i="4"/>
  <c r="DM75" i="4"/>
  <c r="CP75" i="4"/>
  <c r="DN75" i="4"/>
  <c r="CM75" i="4"/>
  <c r="CQ75" i="4"/>
  <c r="DL75" i="4"/>
  <c r="AQ75" i="4"/>
  <c r="AS75" i="4"/>
  <c r="BR75" i="4"/>
  <c r="AU75" i="4"/>
  <c r="BS75" i="4"/>
  <c r="BP75" i="4"/>
  <c r="AR75" i="4"/>
  <c r="AT75" i="4"/>
  <c r="BQ75" i="4"/>
  <c r="BO75" i="4"/>
  <c r="DJ76" i="4"/>
  <c r="DZ76" i="4"/>
  <c r="DJ75" i="4"/>
  <c r="DZ75" i="4"/>
  <c r="CL76" i="4"/>
  <c r="DB76" i="4"/>
  <c r="CL75" i="4"/>
  <c r="DB75" i="4"/>
  <c r="BN76" i="4"/>
  <c r="CD76" i="4"/>
  <c r="BN75" i="4"/>
  <c r="CD75" i="4"/>
  <c r="AP76" i="4"/>
  <c r="BF76" i="4"/>
  <c r="AP75" i="4"/>
  <c r="BF75" i="4"/>
  <c r="H25" i="20"/>
  <c r="J25" i="20"/>
  <c r="H17" i="20"/>
  <c r="J17" i="20"/>
  <c r="H26" i="20"/>
  <c r="J26" i="20"/>
  <c r="H18" i="20"/>
  <c r="J18" i="20"/>
  <c r="H16" i="20"/>
  <c r="J16" i="20"/>
  <c r="H28" i="20"/>
  <c r="J28" i="20"/>
  <c r="F29" i="20"/>
  <c r="F48" i="20" s="1"/>
  <c r="CF75" i="4"/>
  <c r="CE75" i="4"/>
  <c r="CC75" i="4"/>
  <c r="CB75" i="4"/>
  <c r="CA75" i="4"/>
  <c r="BZ75" i="4"/>
  <c r="BY75" i="4"/>
  <c r="BX75" i="4"/>
  <c r="BW75" i="4"/>
  <c r="BV75" i="4"/>
  <c r="BU75" i="4"/>
  <c r="BT75" i="4"/>
  <c r="BL75" i="4"/>
  <c r="BK75" i="4"/>
  <c r="BI75" i="4"/>
  <c r="EB75" i="4"/>
  <c r="EA75" i="4"/>
  <c r="DY75" i="4"/>
  <c r="DX75" i="4"/>
  <c r="DW75" i="4"/>
  <c r="DV75" i="4"/>
  <c r="DU75" i="4"/>
  <c r="DT75" i="4"/>
  <c r="EB76" i="4"/>
  <c r="EA76" i="4"/>
  <c r="DY76" i="4"/>
  <c r="DX76" i="4"/>
  <c r="DW76" i="4"/>
  <c r="DV76" i="4"/>
  <c r="DU76" i="4"/>
  <c r="DT76" i="4"/>
  <c r="CF76" i="4"/>
  <c r="CE76" i="4"/>
  <c r="CC76" i="4"/>
  <c r="CB76" i="4"/>
  <c r="CA76" i="4"/>
  <c r="BZ76" i="4"/>
  <c r="BY76" i="4"/>
  <c r="BX76" i="4"/>
  <c r="BW76" i="4"/>
  <c r="BV76" i="4"/>
  <c r="BU76" i="4"/>
  <c r="BT76" i="4"/>
  <c r="BL76" i="4"/>
  <c r="BK76" i="4"/>
  <c r="BI76" i="4"/>
  <c r="DS75" i="4"/>
  <c r="DR75" i="4"/>
  <c r="DQ75" i="4"/>
  <c r="DP75" i="4"/>
  <c r="DG75" i="4"/>
  <c r="DE75" i="4"/>
  <c r="DH75" i="4"/>
  <c r="DS76" i="4"/>
  <c r="DR76" i="4"/>
  <c r="DQ76" i="4"/>
  <c r="DP76" i="4"/>
  <c r="DG76" i="4"/>
  <c r="DE76" i="4"/>
  <c r="DH76" i="4"/>
  <c r="DD75" i="4"/>
  <c r="DC75" i="4"/>
  <c r="CY75" i="4"/>
  <c r="CW75" i="4"/>
  <c r="CU75" i="4"/>
  <c r="CJ75" i="4"/>
  <c r="CT75" i="4"/>
  <c r="CI75" i="4"/>
  <c r="DA75" i="4"/>
  <c r="CX75" i="4"/>
  <c r="CS75" i="4"/>
  <c r="CG75" i="4"/>
  <c r="CV75" i="4"/>
  <c r="CR75" i="4"/>
  <c r="CZ75" i="4"/>
  <c r="CY76" i="4"/>
  <c r="CX76" i="4"/>
  <c r="CW76" i="4"/>
  <c r="CV76" i="4"/>
  <c r="CU76" i="4"/>
  <c r="CT76" i="4"/>
  <c r="CS76" i="4"/>
  <c r="CR76" i="4"/>
  <c r="CJ76" i="4"/>
  <c r="CI76" i="4"/>
  <c r="CG76" i="4"/>
  <c r="CZ76" i="4"/>
  <c r="DD76" i="4"/>
  <c r="DC76" i="4"/>
  <c r="DA76" i="4"/>
  <c r="AZ75" i="4"/>
  <c r="BH75" i="4"/>
  <c r="BC75" i="4"/>
  <c r="BG75" i="4"/>
  <c r="BB75" i="4"/>
  <c r="BE75" i="4"/>
  <c r="BA75" i="4"/>
  <c r="BD75" i="4"/>
  <c r="AZ76" i="4"/>
  <c r="BD76" i="4"/>
  <c r="BH76" i="4"/>
  <c r="BC76" i="4"/>
  <c r="BG76" i="4"/>
  <c r="BB76" i="4"/>
  <c r="BE76" i="4"/>
  <c r="BA76" i="4"/>
  <c r="AW76" i="4"/>
  <c r="AV76" i="4"/>
  <c r="AY76" i="4"/>
  <c r="AN76" i="4"/>
  <c r="AK76" i="4"/>
  <c r="AX76" i="4"/>
  <c r="AM76" i="4"/>
  <c r="AW75" i="4"/>
  <c r="AV75" i="4"/>
  <c r="AY75" i="4"/>
  <c r="AN75" i="4"/>
  <c r="AK75" i="4"/>
  <c r="AX75" i="4"/>
  <c r="AM75" i="4"/>
  <c r="J150" i="20"/>
  <c r="D151" i="20"/>
  <c r="J151" i="20" s="1"/>
  <c r="AC25" i="20" l="1"/>
  <c r="J44" i="20"/>
  <c r="AC29" i="20"/>
  <c r="J48" i="20"/>
  <c r="H48" i="20"/>
  <c r="F33" i="20"/>
  <c r="H90" i="20"/>
  <c r="H97" i="20" s="1"/>
  <c r="J90" i="20"/>
  <c r="J97" i="20" s="1"/>
  <c r="H29" i="20"/>
  <c r="J29" i="20"/>
  <c r="J33" i="20" s="1"/>
  <c r="J155" i="20"/>
  <c r="H104" i="30" l="1"/>
  <c r="J104" i="30" s="1"/>
  <c r="AC39" i="20"/>
  <c r="H33" i="20"/>
  <c r="F20" i="20"/>
  <c r="F50" i="20" s="1"/>
  <c r="EB52" i="4"/>
  <c r="DW52" i="4"/>
  <c r="EA52" i="4"/>
  <c r="DV52" i="4"/>
  <c r="DY52" i="4"/>
  <c r="DU52" i="4"/>
  <c r="DX52" i="4"/>
  <c r="DT52" i="4"/>
  <c r="DP52" i="4"/>
  <c r="DS52" i="4"/>
  <c r="DH52" i="4"/>
  <c r="DR52" i="4"/>
  <c r="CZ52" i="4"/>
  <c r="CV52" i="4"/>
  <c r="CR52" i="4"/>
  <c r="DG52" i="4"/>
  <c r="DQ52" i="4"/>
  <c r="DE52" i="4"/>
  <c r="CY52" i="4"/>
  <c r="DC52" i="4"/>
  <c r="CW52" i="4"/>
  <c r="CU52" i="4"/>
  <c r="CI52" i="4"/>
  <c r="CT52" i="4"/>
  <c r="CG52" i="4"/>
  <c r="DD52" i="4"/>
  <c r="DA52" i="4"/>
  <c r="CX52" i="4"/>
  <c r="CS52" i="4"/>
  <c r="CJ52" i="4"/>
  <c r="AC31" i="20" l="1"/>
  <c r="J50" i="20"/>
  <c r="J52" i="20" s="1"/>
  <c r="H50" i="20"/>
  <c r="H52" i="20" s="1"/>
  <c r="F52" i="20"/>
  <c r="H20" i="20"/>
  <c r="H22" i="20" s="1"/>
  <c r="H57" i="20" s="1"/>
  <c r="J20" i="20"/>
  <c r="J22" i="20" s="1"/>
  <c r="J57" i="20" s="1"/>
  <c r="F22" i="20"/>
  <c r="F57" i="20" s="1"/>
  <c r="I80" i="4"/>
  <c r="I74" i="4"/>
  <c r="I79" i="4"/>
  <c r="J31" i="4"/>
  <c r="I67" i="4"/>
  <c r="I68" i="4"/>
  <c r="I69" i="4"/>
  <c r="I70" i="4"/>
  <c r="I71" i="4"/>
  <c r="I72" i="4"/>
  <c r="I73" i="4"/>
  <c r="I77" i="4"/>
  <c r="I87" i="4"/>
  <c r="I88" i="4"/>
  <c r="I89" i="4"/>
  <c r="I93" i="4"/>
  <c r="DI71" i="4" l="1"/>
  <c r="AO71" i="4"/>
  <c r="BM71" i="4"/>
  <c r="AL71" i="4"/>
  <c r="BJ71" i="4"/>
  <c r="DI80" i="4"/>
  <c r="BT80" i="4"/>
  <c r="BO80" i="4"/>
  <c r="AL80" i="4"/>
  <c r="AQ80" i="4"/>
  <c r="AN80" i="4"/>
  <c r="AM80" i="4"/>
  <c r="CB80" i="4"/>
  <c r="BW80" i="4"/>
  <c r="BR80" i="4"/>
  <c r="AU80" i="4"/>
  <c r="AW80" i="4"/>
  <c r="AY80" i="4"/>
  <c r="AO80" i="4"/>
  <c r="BL80" i="4"/>
  <c r="CE80" i="4"/>
  <c r="BZ80" i="4"/>
  <c r="AR80" i="4"/>
  <c r="AZ80" i="4"/>
  <c r="BK80" i="4"/>
  <c r="BM80" i="4"/>
  <c r="BU80" i="4"/>
  <c r="BP80" i="4"/>
  <c r="BJ80" i="4"/>
  <c r="AS80" i="4"/>
  <c r="BB80" i="4"/>
  <c r="AX80" i="4"/>
  <c r="CC80" i="4"/>
  <c r="BX80" i="4"/>
  <c r="BD80" i="4"/>
  <c r="BC80" i="4"/>
  <c r="BN80" i="4"/>
  <c r="CF80" i="4"/>
  <c r="BF80" i="4"/>
  <c r="AP80" i="4"/>
  <c r="AV80" i="4"/>
  <c r="BH80" i="4"/>
  <c r="BI80" i="4"/>
  <c r="BS80" i="4"/>
  <c r="BV80" i="4"/>
  <c r="BQ80" i="4"/>
  <c r="BA80" i="4"/>
  <c r="CA80" i="4"/>
  <c r="CD80" i="4"/>
  <c r="BY80" i="4"/>
  <c r="AT80" i="4"/>
  <c r="AK80" i="4"/>
  <c r="BE80" i="4"/>
  <c r="BG80" i="4"/>
  <c r="DI67" i="4"/>
  <c r="BJ67" i="4"/>
  <c r="AL67" i="4"/>
  <c r="AO67" i="4"/>
  <c r="BM67" i="4"/>
  <c r="DI70" i="4"/>
  <c r="AO70" i="4"/>
  <c r="BM70" i="4"/>
  <c r="AL70" i="4"/>
  <c r="BJ70" i="4"/>
  <c r="DI73" i="4"/>
  <c r="BM73" i="4"/>
  <c r="AL73" i="4"/>
  <c r="BJ73" i="4"/>
  <c r="AO73" i="4"/>
  <c r="DI69" i="4"/>
  <c r="AO69" i="4"/>
  <c r="BM69" i="4"/>
  <c r="BJ69" i="4"/>
  <c r="AL69" i="4"/>
  <c r="DI68" i="4"/>
  <c r="BO68" i="4"/>
  <c r="AS68" i="4"/>
  <c r="BS68" i="4"/>
  <c r="BJ68" i="4"/>
  <c r="BP68" i="4"/>
  <c r="AL68" i="4"/>
  <c r="AT68" i="4"/>
  <c r="AO68" i="4"/>
  <c r="AQ68" i="4"/>
  <c r="BM68" i="4"/>
  <c r="AU68" i="4"/>
  <c r="BR68" i="4"/>
  <c r="BQ68" i="4"/>
  <c r="AR68" i="4"/>
  <c r="DI77" i="4"/>
  <c r="BJ77" i="4"/>
  <c r="BQ77" i="4"/>
  <c r="AX77" i="4"/>
  <c r="AZ77" i="4"/>
  <c r="AK77" i="4"/>
  <c r="CA77" i="4"/>
  <c r="CF77" i="4"/>
  <c r="AL77" i="4"/>
  <c r="AT77" i="4"/>
  <c r="BA77" i="4"/>
  <c r="BW77" i="4"/>
  <c r="CD77" i="4"/>
  <c r="AQ77" i="4"/>
  <c r="BE77" i="4"/>
  <c r="AY77" i="4"/>
  <c r="BH77" i="4"/>
  <c r="CE77" i="4"/>
  <c r="BP77" i="4"/>
  <c r="AU77" i="4"/>
  <c r="BK77" i="4"/>
  <c r="AN77" i="4"/>
  <c r="AM77" i="4"/>
  <c r="BR77" i="4"/>
  <c r="AR77" i="4"/>
  <c r="BF77" i="4"/>
  <c r="BB77" i="4"/>
  <c r="CB77" i="4"/>
  <c r="BV77" i="4"/>
  <c r="BO77" i="4"/>
  <c r="BN77" i="4"/>
  <c r="BL77" i="4"/>
  <c r="AV77" i="4"/>
  <c r="BT77" i="4"/>
  <c r="CC77" i="4"/>
  <c r="BZ77" i="4"/>
  <c r="AO77" i="4"/>
  <c r="BS77" i="4"/>
  <c r="BI77" i="4"/>
  <c r="BD77" i="4"/>
  <c r="BC77" i="4"/>
  <c r="BU77" i="4"/>
  <c r="BX77" i="4"/>
  <c r="BM77" i="4"/>
  <c r="AS77" i="4"/>
  <c r="AP77" i="4"/>
  <c r="BG77" i="4"/>
  <c r="AW77" i="4"/>
  <c r="BY77" i="4"/>
  <c r="AO79" i="4"/>
  <c r="BM79" i="4"/>
  <c r="DI72" i="4"/>
  <c r="AL72" i="4"/>
  <c r="AO72" i="4"/>
  <c r="BJ72" i="4"/>
  <c r="BM72" i="4"/>
  <c r="DI74" i="4"/>
  <c r="BR74" i="4"/>
  <c r="AP74" i="4"/>
  <c r="AW74" i="4"/>
  <c r="CA74" i="4"/>
  <c r="AR74" i="4"/>
  <c r="AM74" i="4"/>
  <c r="AK74" i="4"/>
  <c r="BH74" i="4"/>
  <c r="BP74" i="4"/>
  <c r="BE74" i="4"/>
  <c r="BI74" i="4"/>
  <c r="AS74" i="4"/>
  <c r="AN74" i="4"/>
  <c r="BG74" i="4"/>
  <c r="AY74" i="4"/>
  <c r="BW74" i="4"/>
  <c r="BL74" i="4"/>
  <c r="BT74" i="4"/>
  <c r="BU74" i="4"/>
  <c r="BC74" i="4"/>
  <c r="AZ74" i="4"/>
  <c r="BD74" i="4"/>
  <c r="BX74" i="4"/>
  <c r="BJ74" i="4"/>
  <c r="CD74" i="4"/>
  <c r="AT74" i="4"/>
  <c r="AL74" i="4"/>
  <c r="BO74" i="4"/>
  <c r="AQ74" i="4"/>
  <c r="BF74" i="4"/>
  <c r="AX74" i="4"/>
  <c r="CE74" i="4"/>
  <c r="CB74" i="4"/>
  <c r="BY74" i="4"/>
  <c r="BA74" i="4"/>
  <c r="AV74" i="4"/>
  <c r="AO74" i="4"/>
  <c r="BS74" i="4"/>
  <c r="AU74" i="4"/>
  <c r="BN74" i="4"/>
  <c r="BK74" i="4"/>
  <c r="BM74" i="4"/>
  <c r="BQ74" i="4"/>
  <c r="CF74" i="4"/>
  <c r="CC74" i="4"/>
  <c r="BB74" i="4"/>
  <c r="BV74" i="4"/>
  <c r="BZ74" i="4"/>
  <c r="CK89" i="4"/>
  <c r="DI89" i="4"/>
  <c r="CK88" i="4"/>
  <c r="DI88" i="4"/>
  <c r="CK87" i="4"/>
  <c r="DI87" i="4"/>
  <c r="CK79" i="4"/>
  <c r="DI79" i="4"/>
  <c r="CH71" i="4"/>
  <c r="CK71" i="4"/>
  <c r="CH93" i="4"/>
  <c r="J55" i="46" s="1"/>
  <c r="F55" i="46" s="1"/>
  <c r="H55" i="46" s="1"/>
  <c r="CK93" i="4"/>
  <c r="CH80" i="4"/>
  <c r="CK80" i="4"/>
  <c r="CH70" i="4"/>
  <c r="CK70" i="4"/>
  <c r="CH69" i="4"/>
  <c r="CK69" i="4"/>
  <c r="CH68" i="4"/>
  <c r="CK68" i="4"/>
  <c r="CH67" i="4"/>
  <c r="CK67" i="4"/>
  <c r="CH77" i="4"/>
  <c r="CK77" i="4"/>
  <c r="CH73" i="4"/>
  <c r="CK73" i="4"/>
  <c r="CH72" i="4"/>
  <c r="CK72" i="4"/>
  <c r="CH74" i="4"/>
  <c r="CK74" i="4"/>
  <c r="AO89" i="4"/>
  <c r="BM89" i="4"/>
  <c r="AO88" i="4"/>
  <c r="BM88" i="4"/>
  <c r="AO87" i="4"/>
  <c r="BM87" i="4"/>
  <c r="AO31" i="4"/>
  <c r="AO61" i="4" s="1"/>
  <c r="BM31" i="4"/>
  <c r="BM61" i="4" s="1"/>
  <c r="BQ31" i="4"/>
  <c r="BQ61" i="4" s="1"/>
  <c r="J40" i="43" s="1"/>
  <c r="F40" i="43" s="1"/>
  <c r="AK31" i="4"/>
  <c r="BV31" i="4"/>
  <c r="BT31" i="4"/>
  <c r="BH31" i="4"/>
  <c r="AT31" i="4"/>
  <c r="AT61" i="4" s="1"/>
  <c r="J39" i="42" s="1"/>
  <c r="F39" i="42" s="1"/>
  <c r="CB31" i="4"/>
  <c r="AM31" i="4"/>
  <c r="AX31" i="4"/>
  <c r="BZ31" i="4"/>
  <c r="BX31" i="4"/>
  <c r="CF31" i="4"/>
  <c r="BA31" i="4"/>
  <c r="BR31" i="4"/>
  <c r="BR61" i="4" s="1"/>
  <c r="J40" i="42" s="1"/>
  <c r="F40" i="42" s="1"/>
  <c r="AP31" i="4"/>
  <c r="AP61" i="4" s="1"/>
  <c r="J39" i="38" s="1"/>
  <c r="BW31" i="4"/>
  <c r="BU31" i="4"/>
  <c r="CA31" i="4"/>
  <c r="BN31" i="4"/>
  <c r="BN61" i="4" s="1"/>
  <c r="J40" i="38" s="1"/>
  <c r="AL31" i="4"/>
  <c r="AL61" i="4" s="1"/>
  <c r="J39" i="46" s="1"/>
  <c r="F39" i="46" s="1"/>
  <c r="AQ31" i="4"/>
  <c r="AQ61" i="4" s="1"/>
  <c r="J39" i="45" s="1"/>
  <c r="AW31" i="4"/>
  <c r="BB31" i="4"/>
  <c r="CC31" i="4"/>
  <c r="BJ31" i="4"/>
  <c r="BJ61" i="4" s="1"/>
  <c r="J40" i="46" s="1"/>
  <c r="F40" i="46" s="1"/>
  <c r="H40" i="46" s="1"/>
  <c r="CD31" i="4"/>
  <c r="CD61" i="4" s="1"/>
  <c r="AU31" i="4"/>
  <c r="AU61" i="4" s="1"/>
  <c r="BE31" i="4"/>
  <c r="BP31" i="4"/>
  <c r="BP61" i="4" s="1"/>
  <c r="J40" i="44" s="1"/>
  <c r="F40" i="44" s="1"/>
  <c r="AR31" i="4"/>
  <c r="AR61" i="4" s="1"/>
  <c r="J39" i="44" s="1"/>
  <c r="F39" i="44" s="1"/>
  <c r="BG31" i="4"/>
  <c r="BD31" i="4"/>
  <c r="BL31" i="4"/>
  <c r="AY31" i="4"/>
  <c r="BC31" i="4"/>
  <c r="BO31" i="4"/>
  <c r="BO61" i="4" s="1"/>
  <c r="J40" i="45" s="1"/>
  <c r="AS31" i="4"/>
  <c r="AS61" i="4" s="1"/>
  <c r="J39" i="43" s="1"/>
  <c r="F39" i="43" s="1"/>
  <c r="BF31" i="4"/>
  <c r="BF61" i="4" s="1"/>
  <c r="BY31" i="4"/>
  <c r="AN31" i="4"/>
  <c r="AV31" i="4"/>
  <c r="AZ31" i="4"/>
  <c r="BI31" i="4"/>
  <c r="BS31" i="4"/>
  <c r="BS61" i="4" s="1"/>
  <c r="J40" i="41" s="1"/>
  <c r="F40" i="41" s="1"/>
  <c r="BK31" i="4"/>
  <c r="CE31" i="4"/>
  <c r="CH87" i="4"/>
  <c r="BJ87" i="4"/>
  <c r="AL87" i="4"/>
  <c r="CH89" i="4"/>
  <c r="BJ89" i="4"/>
  <c r="AL89" i="4"/>
  <c r="CH88" i="4"/>
  <c r="BJ88" i="4"/>
  <c r="AL88" i="4"/>
  <c r="CH79" i="4"/>
  <c r="AL79" i="4"/>
  <c r="BJ79" i="4"/>
  <c r="DM87" i="4"/>
  <c r="DN87" i="4"/>
  <c r="DK87" i="4"/>
  <c r="DO87" i="4"/>
  <c r="DL87" i="4"/>
  <c r="CM87" i="4"/>
  <c r="CQ87" i="4"/>
  <c r="CO87" i="4"/>
  <c r="CP87" i="4"/>
  <c r="CN87" i="4"/>
  <c r="BO87" i="4"/>
  <c r="BQ87" i="4"/>
  <c r="AR87" i="4"/>
  <c r="BS87" i="4"/>
  <c r="AQ87" i="4"/>
  <c r="AS87" i="4"/>
  <c r="AU87" i="4"/>
  <c r="BP87" i="4"/>
  <c r="AT87" i="4"/>
  <c r="BR87" i="4"/>
  <c r="DL71" i="4"/>
  <c r="CN71" i="4"/>
  <c r="DM71" i="4"/>
  <c r="CO71" i="4"/>
  <c r="DN71" i="4"/>
  <c r="CP71" i="4"/>
  <c r="DK71" i="4"/>
  <c r="DO71" i="4"/>
  <c r="CM71" i="4"/>
  <c r="CQ71" i="4"/>
  <c r="BP71" i="4"/>
  <c r="BO71" i="4"/>
  <c r="AT71" i="4"/>
  <c r="BQ71" i="4"/>
  <c r="AR71" i="4"/>
  <c r="AQ71" i="4"/>
  <c r="BS71" i="4"/>
  <c r="BR71" i="4"/>
  <c r="AU71" i="4"/>
  <c r="AS71" i="4"/>
  <c r="DL67" i="4"/>
  <c r="CN67" i="4"/>
  <c r="DM67" i="4"/>
  <c r="CO67" i="4"/>
  <c r="DN67" i="4"/>
  <c r="CP67" i="4"/>
  <c r="DK67" i="4"/>
  <c r="DO67" i="4"/>
  <c r="CM67" i="4"/>
  <c r="CQ67" i="4"/>
  <c r="BR67" i="4"/>
  <c r="AQ67" i="4"/>
  <c r="AS67" i="4"/>
  <c r="BP67" i="4"/>
  <c r="AU67" i="4"/>
  <c r="AT67" i="4"/>
  <c r="BQ67" i="4"/>
  <c r="BS67" i="4"/>
  <c r="BO67" i="4"/>
  <c r="AR67" i="4"/>
  <c r="DN80" i="4"/>
  <c r="CM80" i="4"/>
  <c r="DK80" i="4"/>
  <c r="DO80" i="4"/>
  <c r="CN80" i="4"/>
  <c r="DL80" i="4"/>
  <c r="CO80" i="4"/>
  <c r="DM80" i="4"/>
  <c r="CP80" i="4"/>
  <c r="CQ80" i="4"/>
  <c r="CQ93" i="4"/>
  <c r="J55" i="41" s="1"/>
  <c r="F55" i="41" s="1"/>
  <c r="CM93" i="4"/>
  <c r="J55" i="45" s="1"/>
  <c r="CN93" i="4"/>
  <c r="J55" i="44" s="1"/>
  <c r="F55" i="44" s="1"/>
  <c r="CP93" i="4"/>
  <c r="J55" i="42" s="1"/>
  <c r="F55" i="42" s="1"/>
  <c r="CO93" i="4"/>
  <c r="J55" i="43" s="1"/>
  <c r="F55" i="43" s="1"/>
  <c r="DM77" i="4"/>
  <c r="CP77" i="4"/>
  <c r="DN77" i="4"/>
  <c r="CM77" i="4"/>
  <c r="CQ77" i="4"/>
  <c r="DK77" i="4"/>
  <c r="DO77" i="4"/>
  <c r="CN77" i="4"/>
  <c r="DL77" i="4"/>
  <c r="CO77" i="4"/>
  <c r="DM70" i="4"/>
  <c r="CO70" i="4"/>
  <c r="DN70" i="4"/>
  <c r="CP70" i="4"/>
  <c r="DK70" i="4"/>
  <c r="DO70" i="4"/>
  <c r="CM70" i="4"/>
  <c r="CQ70" i="4"/>
  <c r="DL70" i="4"/>
  <c r="CN70" i="4"/>
  <c r="BO70" i="4"/>
  <c r="BP70" i="4"/>
  <c r="AQ70" i="4"/>
  <c r="BS70" i="4"/>
  <c r="AR70" i="4"/>
  <c r="AU70" i="4"/>
  <c r="BQ70" i="4"/>
  <c r="AS70" i="4"/>
  <c r="BR70" i="4"/>
  <c r="AT70" i="4"/>
  <c r="DK89" i="4"/>
  <c r="DO89" i="4"/>
  <c r="DL89" i="4"/>
  <c r="DM89" i="4"/>
  <c r="DN89" i="4"/>
  <c r="CO89" i="4"/>
  <c r="CM89" i="4"/>
  <c r="CN89" i="4"/>
  <c r="CP89" i="4"/>
  <c r="CQ89" i="4"/>
  <c r="AQ89" i="4"/>
  <c r="AS89" i="4"/>
  <c r="BR89" i="4"/>
  <c r="AU89" i="4"/>
  <c r="BP89" i="4"/>
  <c r="BQ89" i="4"/>
  <c r="AR89" i="4"/>
  <c r="AT89" i="4"/>
  <c r="BS89" i="4"/>
  <c r="BO89" i="4"/>
  <c r="DK73" i="4"/>
  <c r="DO73" i="4"/>
  <c r="CP73" i="4"/>
  <c r="DL73" i="4"/>
  <c r="CM73" i="4"/>
  <c r="CQ73" i="4"/>
  <c r="DM73" i="4"/>
  <c r="CN73" i="4"/>
  <c r="DN73" i="4"/>
  <c r="CO73" i="4"/>
  <c r="BS73" i="4"/>
  <c r="AQ73" i="4"/>
  <c r="BP73" i="4"/>
  <c r="BQ73" i="4"/>
  <c r="AU73" i="4"/>
  <c r="BR73" i="4"/>
  <c r="AS73" i="4"/>
  <c r="AR73" i="4"/>
  <c r="BO73" i="4"/>
  <c r="AT73" i="4"/>
  <c r="DN69" i="4"/>
  <c r="CP69" i="4"/>
  <c r="DK69" i="4"/>
  <c r="DO69" i="4"/>
  <c r="CM69" i="4"/>
  <c r="CQ69" i="4"/>
  <c r="DL69" i="4"/>
  <c r="CN69" i="4"/>
  <c r="DM69" i="4"/>
  <c r="CO69" i="4"/>
  <c r="BR69" i="4"/>
  <c r="AT69" i="4"/>
  <c r="AR69" i="4"/>
  <c r="BO69" i="4"/>
  <c r="AQ69" i="4"/>
  <c r="BS69" i="4"/>
  <c r="AU69" i="4"/>
  <c r="BP69" i="4"/>
  <c r="AS69" i="4"/>
  <c r="BQ69" i="4"/>
  <c r="DK79" i="4"/>
  <c r="DO79" i="4"/>
  <c r="CN79" i="4"/>
  <c r="DL79" i="4"/>
  <c r="CO79" i="4"/>
  <c r="DM79" i="4"/>
  <c r="CP79" i="4"/>
  <c r="DN79" i="4"/>
  <c r="CM79" i="4"/>
  <c r="CQ79" i="4"/>
  <c r="BP79" i="4"/>
  <c r="AU79" i="4"/>
  <c r="AT79" i="4"/>
  <c r="BQ79" i="4"/>
  <c r="AR79" i="4"/>
  <c r="BS79" i="4"/>
  <c r="AS79" i="4"/>
  <c r="BR79" i="4"/>
  <c r="AQ79" i="4"/>
  <c r="BO79" i="4"/>
  <c r="DL88" i="4"/>
  <c r="DM88" i="4"/>
  <c r="DN88" i="4"/>
  <c r="DK88" i="4"/>
  <c r="DO88" i="4"/>
  <c r="CP88" i="4"/>
  <c r="CN88" i="4"/>
  <c r="CO88" i="4"/>
  <c r="CQ88" i="4"/>
  <c r="CM88" i="4"/>
  <c r="BO88" i="4"/>
  <c r="AR88" i="4"/>
  <c r="AQ88" i="4"/>
  <c r="BS88" i="4"/>
  <c r="BQ88" i="4"/>
  <c r="AU88" i="4"/>
  <c r="BR88" i="4"/>
  <c r="AS88" i="4"/>
  <c r="BP88" i="4"/>
  <c r="AT88" i="4"/>
  <c r="DK72" i="4"/>
  <c r="CM72" i="4"/>
  <c r="CQ72" i="4"/>
  <c r="DL72" i="4"/>
  <c r="CN72" i="4"/>
  <c r="DM72" i="4"/>
  <c r="CO72" i="4"/>
  <c r="DN72" i="4"/>
  <c r="CP72" i="4"/>
  <c r="DO72" i="4"/>
  <c r="BO72" i="4"/>
  <c r="AQ72" i="4"/>
  <c r="AS72" i="4"/>
  <c r="BS72" i="4"/>
  <c r="AU72" i="4"/>
  <c r="BP72" i="4"/>
  <c r="AR72" i="4"/>
  <c r="BQ72" i="4"/>
  <c r="AT72" i="4"/>
  <c r="BR72" i="4"/>
  <c r="DK68" i="4"/>
  <c r="DO68" i="4"/>
  <c r="CM68" i="4"/>
  <c r="CQ68" i="4"/>
  <c r="DL68" i="4"/>
  <c r="CN68" i="4"/>
  <c r="DM68" i="4"/>
  <c r="CO68" i="4"/>
  <c r="DN68" i="4"/>
  <c r="CP68" i="4"/>
  <c r="DO74" i="4"/>
  <c r="CO74" i="4"/>
  <c r="DK74" i="4"/>
  <c r="CP74" i="4"/>
  <c r="DL74" i="4"/>
  <c r="CM74" i="4"/>
  <c r="CQ74" i="4"/>
  <c r="DN74" i="4"/>
  <c r="CN74" i="4"/>
  <c r="DM74" i="4"/>
  <c r="BL87" i="4"/>
  <c r="AM87" i="4"/>
  <c r="AN87" i="4"/>
  <c r="CA87" i="4"/>
  <c r="BI87" i="4"/>
  <c r="BY87" i="4"/>
  <c r="CE87" i="4"/>
  <c r="BU87" i="4"/>
  <c r="CD87" i="4"/>
  <c r="BW87" i="4"/>
  <c r="BD87" i="4"/>
  <c r="AY87" i="4"/>
  <c r="AX87" i="4"/>
  <c r="AW87" i="4"/>
  <c r="BH87" i="4"/>
  <c r="BE87" i="4"/>
  <c r="BT87" i="4"/>
  <c r="BZ87" i="4"/>
  <c r="BB87" i="4"/>
  <c r="BX87" i="4"/>
  <c r="BG87" i="4"/>
  <c r="BK87" i="4"/>
  <c r="BV87" i="4"/>
  <c r="BF87" i="4"/>
  <c r="AP87" i="4"/>
  <c r="CB87" i="4"/>
  <c r="BC87" i="4"/>
  <c r="CF87" i="4"/>
  <c r="BN87" i="4"/>
  <c r="AK87" i="4"/>
  <c r="AV87" i="4"/>
  <c r="AZ87" i="4"/>
  <c r="CC87" i="4"/>
  <c r="BA87" i="4"/>
  <c r="BE71" i="4"/>
  <c r="CA71" i="4"/>
  <c r="BX71" i="4"/>
  <c r="BH71" i="4"/>
  <c r="CC71" i="4"/>
  <c r="AY71" i="4"/>
  <c r="BZ71" i="4"/>
  <c r="CF71" i="4"/>
  <c r="BN71" i="4"/>
  <c r="BL71" i="4"/>
  <c r="AV71" i="4"/>
  <c r="AZ71" i="4"/>
  <c r="BI71" i="4"/>
  <c r="BK71" i="4"/>
  <c r="CD71" i="4"/>
  <c r="AP71" i="4"/>
  <c r="BG71" i="4"/>
  <c r="BA71" i="4"/>
  <c r="BT71" i="4"/>
  <c r="CB71" i="4"/>
  <c r="AN71" i="4"/>
  <c r="BB71" i="4"/>
  <c r="BU71" i="4"/>
  <c r="AK71" i="4"/>
  <c r="BF71" i="4"/>
  <c r="CE71" i="4"/>
  <c r="BW71" i="4"/>
  <c r="AX71" i="4"/>
  <c r="BD71" i="4"/>
  <c r="AW71" i="4"/>
  <c r="BC71" i="4"/>
  <c r="BY71" i="4"/>
  <c r="AM71" i="4"/>
  <c r="BV71" i="4"/>
  <c r="CD67" i="4"/>
  <c r="BU67" i="4"/>
  <c r="AM67" i="4"/>
  <c r="AX67" i="4"/>
  <c r="BB67" i="4"/>
  <c r="BY67" i="4"/>
  <c r="CB67" i="4"/>
  <c r="AN67" i="4"/>
  <c r="BF67" i="4"/>
  <c r="BD67" i="4"/>
  <c r="CE67" i="4"/>
  <c r="BK67" i="4"/>
  <c r="BI67" i="4"/>
  <c r="BT67" i="4"/>
  <c r="AV67" i="4"/>
  <c r="BX67" i="4"/>
  <c r="BA67" i="4"/>
  <c r="BN67" i="4"/>
  <c r="AP67" i="4"/>
  <c r="BZ67" i="4"/>
  <c r="BC67" i="4"/>
  <c r="BH67" i="4"/>
  <c r="BL67" i="4"/>
  <c r="AK67" i="4"/>
  <c r="BW67" i="4"/>
  <c r="CF67" i="4"/>
  <c r="BV67" i="4"/>
  <c r="AY67" i="4"/>
  <c r="BE67" i="4"/>
  <c r="BG67" i="4"/>
  <c r="AZ67" i="4"/>
  <c r="CC67" i="4"/>
  <c r="CA67" i="4"/>
  <c r="AW67" i="4"/>
  <c r="BF72" i="4"/>
  <c r="AP72" i="4"/>
  <c r="AV72" i="4"/>
  <c r="BE72" i="4"/>
  <c r="BD72" i="4"/>
  <c r="BK72" i="4"/>
  <c r="CB72" i="4"/>
  <c r="BN72" i="4"/>
  <c r="AW72" i="4"/>
  <c r="AM72" i="4"/>
  <c r="BB72" i="4"/>
  <c r="BA72" i="4"/>
  <c r="AZ72" i="4"/>
  <c r="BT72" i="4"/>
  <c r="CC72" i="4"/>
  <c r="CD72" i="4"/>
  <c r="CF72" i="4"/>
  <c r="BH72" i="4"/>
  <c r="BX72" i="4"/>
  <c r="AX72" i="4"/>
  <c r="BG72" i="4"/>
  <c r="BU72" i="4"/>
  <c r="BZ72" i="4"/>
  <c r="AN72" i="4"/>
  <c r="BY72" i="4"/>
  <c r="BL72" i="4"/>
  <c r="CE72" i="4"/>
  <c r="AK72" i="4"/>
  <c r="BV72" i="4"/>
  <c r="AY72" i="4"/>
  <c r="BC72" i="4"/>
  <c r="BW72" i="4"/>
  <c r="BI72" i="4"/>
  <c r="CA72" i="4"/>
  <c r="CF70" i="4"/>
  <c r="BF70" i="4"/>
  <c r="CC70" i="4"/>
  <c r="AM70" i="4"/>
  <c r="BG70" i="4"/>
  <c r="BV70" i="4"/>
  <c r="BT70" i="4"/>
  <c r="BU70" i="4"/>
  <c r="CD70" i="4"/>
  <c r="BN70" i="4"/>
  <c r="AP70" i="4"/>
  <c r="AX70" i="4"/>
  <c r="CA70" i="4"/>
  <c r="BA70" i="4"/>
  <c r="CE70" i="4"/>
  <c r="AW70" i="4"/>
  <c r="BB70" i="4"/>
  <c r="BX70" i="4"/>
  <c r="BH70" i="4"/>
  <c r="BY70" i="4"/>
  <c r="AY70" i="4"/>
  <c r="BD70" i="4"/>
  <c r="BC70" i="4"/>
  <c r="BK70" i="4"/>
  <c r="BW70" i="4"/>
  <c r="CB70" i="4"/>
  <c r="AK70" i="4"/>
  <c r="AZ70" i="4"/>
  <c r="BE70" i="4"/>
  <c r="AV70" i="4"/>
  <c r="AN70" i="4"/>
  <c r="BL70" i="4"/>
  <c r="BZ70" i="4"/>
  <c r="BI70" i="4"/>
  <c r="AP88" i="4"/>
  <c r="CB88" i="4"/>
  <c r="AK88" i="4"/>
  <c r="AM88" i="4"/>
  <c r="BK88" i="4"/>
  <c r="AV88" i="4"/>
  <c r="BC88" i="4"/>
  <c r="BH88" i="4"/>
  <c r="BA88" i="4"/>
  <c r="CF88" i="4"/>
  <c r="BI88" i="4"/>
  <c r="BV88" i="4"/>
  <c r="BF88" i="4"/>
  <c r="BB88" i="4"/>
  <c r="BU88" i="4"/>
  <c r="CE88" i="4"/>
  <c r="BT88" i="4"/>
  <c r="BL88" i="4"/>
  <c r="BW88" i="4"/>
  <c r="CA88" i="4"/>
  <c r="CD88" i="4"/>
  <c r="BN88" i="4"/>
  <c r="CC88" i="4"/>
  <c r="AZ88" i="4"/>
  <c r="BG88" i="4"/>
  <c r="AN88" i="4"/>
  <c r="AW88" i="4"/>
  <c r="AY88" i="4"/>
  <c r="BZ88" i="4"/>
  <c r="BD88" i="4"/>
  <c r="BX88" i="4"/>
  <c r="AX88" i="4"/>
  <c r="BE88" i="4"/>
  <c r="BY88" i="4"/>
  <c r="CD89" i="4"/>
  <c r="BF89" i="4"/>
  <c r="CE89" i="4"/>
  <c r="AM89" i="4"/>
  <c r="AK89" i="4"/>
  <c r="BE89" i="4"/>
  <c r="AV89" i="4"/>
  <c r="BW89" i="4"/>
  <c r="BL89" i="4"/>
  <c r="BK89" i="4"/>
  <c r="BN89" i="4"/>
  <c r="AP89" i="4"/>
  <c r="AN89" i="4"/>
  <c r="AX89" i="4"/>
  <c r="BX89" i="4"/>
  <c r="BU89" i="4"/>
  <c r="BV89" i="4"/>
  <c r="CF89" i="4"/>
  <c r="BA89" i="4"/>
  <c r="BG89" i="4"/>
  <c r="BH89" i="4"/>
  <c r="BI89" i="4"/>
  <c r="CA89" i="4"/>
  <c r="BY89" i="4"/>
  <c r="BZ89" i="4"/>
  <c r="BC89" i="4"/>
  <c r="BB89" i="4"/>
  <c r="AZ89" i="4"/>
  <c r="AW89" i="4"/>
  <c r="AY89" i="4"/>
  <c r="BD89" i="4"/>
  <c r="CB89" i="4"/>
  <c r="BT89" i="4"/>
  <c r="CC89" i="4"/>
  <c r="CF73" i="4"/>
  <c r="CD73" i="4"/>
  <c r="AP73" i="4"/>
  <c r="AV73" i="4"/>
  <c r="BD73" i="4"/>
  <c r="AX73" i="4"/>
  <c r="BB73" i="4"/>
  <c r="CC73" i="4"/>
  <c r="AZ73" i="4"/>
  <c r="BH73" i="4"/>
  <c r="BU73" i="4"/>
  <c r="AW73" i="4"/>
  <c r="BC73" i="4"/>
  <c r="BK73" i="4"/>
  <c r="BV73" i="4"/>
  <c r="BZ73" i="4"/>
  <c r="CE73" i="4"/>
  <c r="BX73" i="4"/>
  <c r="BF73" i="4"/>
  <c r="BY73" i="4"/>
  <c r="AN73" i="4"/>
  <c r="AY73" i="4"/>
  <c r="AK73" i="4"/>
  <c r="BA73" i="4"/>
  <c r="BE73" i="4"/>
  <c r="BW73" i="4"/>
  <c r="BL73" i="4"/>
  <c r="BN73" i="4"/>
  <c r="CB73" i="4"/>
  <c r="AM73" i="4"/>
  <c r="BG73" i="4"/>
  <c r="BT73" i="4"/>
  <c r="BI73" i="4"/>
  <c r="CA73" i="4"/>
  <c r="CF69" i="4"/>
  <c r="BF69" i="4"/>
  <c r="AP69" i="4"/>
  <c r="AX69" i="4"/>
  <c r="AZ69" i="4"/>
  <c r="AN69" i="4"/>
  <c r="CE69" i="4"/>
  <c r="AV69" i="4"/>
  <c r="BD69" i="4"/>
  <c r="CC69" i="4"/>
  <c r="CD69" i="4"/>
  <c r="BN69" i="4"/>
  <c r="BI69" i="4"/>
  <c r="BU69" i="4"/>
  <c r="AM69" i="4"/>
  <c r="BE69" i="4"/>
  <c r="BK69" i="4"/>
  <c r="BB69" i="4"/>
  <c r="BC69" i="4"/>
  <c r="BH69" i="4"/>
  <c r="AK69" i="4"/>
  <c r="AW69" i="4"/>
  <c r="AY69" i="4"/>
  <c r="BA69" i="4"/>
  <c r="BG69" i="4"/>
  <c r="BZ69" i="4"/>
  <c r="CA69" i="4"/>
  <c r="BL69" i="4"/>
  <c r="BW69" i="4"/>
  <c r="BX69" i="4"/>
  <c r="CB69" i="4"/>
  <c r="BV69" i="4"/>
  <c r="BT69" i="4"/>
  <c r="BY69" i="4"/>
  <c r="CF68" i="4"/>
  <c r="CD68" i="4"/>
  <c r="BH68" i="4"/>
  <c r="AN68" i="4"/>
  <c r="BL68" i="4"/>
  <c r="AP68" i="4"/>
  <c r="BW68" i="4"/>
  <c r="BE68" i="4"/>
  <c r="AV68" i="4"/>
  <c r="BT68" i="4"/>
  <c r="BK68" i="4"/>
  <c r="BN68" i="4"/>
  <c r="BV68" i="4"/>
  <c r="BB68" i="4"/>
  <c r="BU68" i="4"/>
  <c r="AW68" i="4"/>
  <c r="BY68" i="4"/>
  <c r="AX68" i="4"/>
  <c r="BZ68" i="4"/>
  <c r="BA68" i="4"/>
  <c r="BG68" i="4"/>
  <c r="CE68" i="4"/>
  <c r="BC68" i="4"/>
  <c r="BI68" i="4"/>
  <c r="CB68" i="4"/>
  <c r="BD68" i="4"/>
  <c r="BF68" i="4"/>
  <c r="AY68" i="4"/>
  <c r="CC68" i="4"/>
  <c r="AK68" i="4"/>
  <c r="AM68" i="4"/>
  <c r="CA68" i="4"/>
  <c r="AZ68" i="4"/>
  <c r="BX68" i="4"/>
  <c r="DJ87" i="4"/>
  <c r="DZ87" i="4"/>
  <c r="DJ71" i="4"/>
  <c r="DZ71" i="4"/>
  <c r="DJ67" i="4"/>
  <c r="DZ67" i="4"/>
  <c r="DJ80" i="4"/>
  <c r="DZ80" i="4"/>
  <c r="DJ77" i="4"/>
  <c r="DZ77" i="4"/>
  <c r="DJ70" i="4"/>
  <c r="DZ70" i="4"/>
  <c r="DJ89" i="4"/>
  <c r="DZ89" i="4"/>
  <c r="DJ73" i="4"/>
  <c r="DZ73" i="4"/>
  <c r="DJ69" i="4"/>
  <c r="DZ69" i="4"/>
  <c r="DJ79" i="4"/>
  <c r="DZ79" i="4"/>
  <c r="DJ88" i="4"/>
  <c r="DZ88" i="4"/>
  <c r="DJ72" i="4"/>
  <c r="DZ72" i="4"/>
  <c r="DJ68" i="4"/>
  <c r="DZ68" i="4"/>
  <c r="DJ74" i="4"/>
  <c r="DZ74" i="4"/>
  <c r="CL87" i="4"/>
  <c r="DB87" i="4"/>
  <c r="CL71" i="4"/>
  <c r="DB71" i="4"/>
  <c r="CL67" i="4"/>
  <c r="DB67" i="4"/>
  <c r="CL80" i="4"/>
  <c r="DB80" i="4"/>
  <c r="CL93" i="4"/>
  <c r="DB93" i="4"/>
  <c r="CL77" i="4"/>
  <c r="DB77" i="4"/>
  <c r="CL70" i="4"/>
  <c r="DB70" i="4"/>
  <c r="CL89" i="4"/>
  <c r="DB89" i="4"/>
  <c r="CL73" i="4"/>
  <c r="DB73" i="4"/>
  <c r="CL69" i="4"/>
  <c r="DB69" i="4"/>
  <c r="CL79" i="4"/>
  <c r="DB79" i="4"/>
  <c r="CL88" i="4"/>
  <c r="DB88" i="4"/>
  <c r="CL72" i="4"/>
  <c r="DB72" i="4"/>
  <c r="CL68" i="4"/>
  <c r="DB68" i="4"/>
  <c r="CL74" i="4"/>
  <c r="DB74" i="4"/>
  <c r="BN93" i="4"/>
  <c r="CD93" i="4"/>
  <c r="BN79" i="4"/>
  <c r="CD79" i="4"/>
  <c r="AP93" i="4"/>
  <c r="BF93" i="4"/>
  <c r="AP79" i="4"/>
  <c r="BF79" i="4"/>
  <c r="H50" i="30"/>
  <c r="J50" i="30" s="1"/>
  <c r="AK93" i="4"/>
  <c r="BT93" i="4"/>
  <c r="J55" i="23" s="1"/>
  <c r="AV93" i="4"/>
  <c r="J54" i="23" s="1"/>
  <c r="F54" i="23" s="1"/>
  <c r="H54" i="23" s="1"/>
  <c r="BK93" i="4"/>
  <c r="J121" i="49" s="1"/>
  <c r="F121" i="49" s="1"/>
  <c r="BV93" i="4"/>
  <c r="BZ93" i="4"/>
  <c r="J81" i="26" s="1"/>
  <c r="F81" i="26" s="1"/>
  <c r="H81" i="26" s="1"/>
  <c r="CE93" i="4"/>
  <c r="J52" i="28" s="1"/>
  <c r="F52" i="28" s="1"/>
  <c r="BL93" i="4"/>
  <c r="BW93" i="4"/>
  <c r="J54" i="24" s="1"/>
  <c r="F54" i="24" s="1"/>
  <c r="H54" i="24" s="1"/>
  <c r="CA93" i="4"/>
  <c r="CF93" i="4"/>
  <c r="J52" i="37" s="1"/>
  <c r="F52" i="37" s="1"/>
  <c r="BX93" i="4"/>
  <c r="J78" i="25" s="1"/>
  <c r="F78" i="25" s="1"/>
  <c r="CB93" i="4"/>
  <c r="J52" i="35" s="1"/>
  <c r="F52" i="35" s="1"/>
  <c r="H52" i="35" s="1"/>
  <c r="BI93" i="4"/>
  <c r="BU93" i="4"/>
  <c r="BY93" i="4"/>
  <c r="CC93" i="4"/>
  <c r="EB87" i="4"/>
  <c r="EA87" i="4"/>
  <c r="DY87" i="4"/>
  <c r="DX87" i="4"/>
  <c r="DW87" i="4"/>
  <c r="DV87" i="4"/>
  <c r="DU87" i="4"/>
  <c r="DT87" i="4"/>
  <c r="EB71" i="4"/>
  <c r="EA71" i="4"/>
  <c r="DY71" i="4"/>
  <c r="DX71" i="4"/>
  <c r="DW71" i="4"/>
  <c r="DV71" i="4"/>
  <c r="DU71" i="4"/>
  <c r="DT71" i="4"/>
  <c r="EB67" i="4"/>
  <c r="EA67" i="4"/>
  <c r="DY67" i="4"/>
  <c r="DX67" i="4"/>
  <c r="DW67" i="4"/>
  <c r="DV67" i="4"/>
  <c r="DU67" i="4"/>
  <c r="CF79" i="4"/>
  <c r="CE79" i="4"/>
  <c r="CC79" i="4"/>
  <c r="CB79" i="4"/>
  <c r="CA79" i="4"/>
  <c r="BZ79" i="4"/>
  <c r="BY79" i="4"/>
  <c r="BX79" i="4"/>
  <c r="BW79" i="4"/>
  <c r="BV79" i="4"/>
  <c r="BU79" i="4"/>
  <c r="BT79" i="4"/>
  <c r="BL79" i="4"/>
  <c r="BK79" i="4"/>
  <c r="BI79" i="4"/>
  <c r="EB79" i="4"/>
  <c r="EA79" i="4"/>
  <c r="DY79" i="4"/>
  <c r="DX79" i="4"/>
  <c r="DW79" i="4"/>
  <c r="DV79" i="4"/>
  <c r="DU79" i="4"/>
  <c r="DT79" i="4"/>
  <c r="EB77" i="4"/>
  <c r="EA77" i="4"/>
  <c r="DY77" i="4"/>
  <c r="DX77" i="4"/>
  <c r="DW77" i="4"/>
  <c r="DV77" i="4"/>
  <c r="DU77" i="4"/>
  <c r="DT77" i="4"/>
  <c r="EB70" i="4"/>
  <c r="EA70" i="4"/>
  <c r="DY70" i="4"/>
  <c r="DX70" i="4"/>
  <c r="DW70" i="4"/>
  <c r="DV70" i="4"/>
  <c r="DU70" i="4"/>
  <c r="DT70" i="4"/>
  <c r="EB74" i="4"/>
  <c r="EA74" i="4"/>
  <c r="DY74" i="4"/>
  <c r="DX74" i="4"/>
  <c r="DW74" i="4"/>
  <c r="DV74" i="4"/>
  <c r="DU74" i="4"/>
  <c r="DT74" i="4"/>
  <c r="EB88" i="4"/>
  <c r="EA88" i="4"/>
  <c r="DY88" i="4"/>
  <c r="DX88" i="4"/>
  <c r="DW88" i="4"/>
  <c r="DV88" i="4"/>
  <c r="DU88" i="4"/>
  <c r="DT88" i="4"/>
  <c r="EB72" i="4"/>
  <c r="EA72" i="4"/>
  <c r="DY72" i="4"/>
  <c r="DX72" i="4"/>
  <c r="DW72" i="4"/>
  <c r="DV72" i="4"/>
  <c r="DU72" i="4"/>
  <c r="DT72" i="4"/>
  <c r="EB89" i="4"/>
  <c r="EA89" i="4"/>
  <c r="DY89" i="4"/>
  <c r="DX89" i="4"/>
  <c r="DW89" i="4"/>
  <c r="DV89" i="4"/>
  <c r="DU89" i="4"/>
  <c r="DT89" i="4"/>
  <c r="EB73" i="4"/>
  <c r="EA73" i="4"/>
  <c r="DY73" i="4"/>
  <c r="DX73" i="4"/>
  <c r="DW73" i="4"/>
  <c r="DV73" i="4"/>
  <c r="DU73" i="4"/>
  <c r="DT73" i="4"/>
  <c r="EB69" i="4"/>
  <c r="EA69" i="4"/>
  <c r="DY69" i="4"/>
  <c r="DX69" i="4"/>
  <c r="DW69" i="4"/>
  <c r="DV69" i="4"/>
  <c r="DU69" i="4"/>
  <c r="DT69" i="4"/>
  <c r="EB80" i="4"/>
  <c r="EA80" i="4"/>
  <c r="DY80" i="4"/>
  <c r="DX80" i="4"/>
  <c r="DW80" i="4"/>
  <c r="DV80" i="4"/>
  <c r="DU80" i="4"/>
  <c r="DT80" i="4"/>
  <c r="EB68" i="4"/>
  <c r="EA68" i="4"/>
  <c r="DY68" i="4"/>
  <c r="DX68" i="4"/>
  <c r="DW68" i="4"/>
  <c r="DV68" i="4"/>
  <c r="DU68" i="4"/>
  <c r="DT68" i="4"/>
  <c r="CC45" i="4"/>
  <c r="BY45" i="4"/>
  <c r="BU45" i="4"/>
  <c r="BI45" i="4"/>
  <c r="BV45" i="4"/>
  <c r="CB45" i="4"/>
  <c r="BX45" i="4"/>
  <c r="BT45" i="4"/>
  <c r="CE45" i="4"/>
  <c r="BZ45" i="4"/>
  <c r="BK45" i="4"/>
  <c r="CF45" i="4"/>
  <c r="CA45" i="4"/>
  <c r="BW45" i="4"/>
  <c r="BL45" i="4"/>
  <c r="CC35" i="4"/>
  <c r="BY35" i="4"/>
  <c r="BU35" i="4"/>
  <c r="BI35" i="4"/>
  <c r="CE35" i="4"/>
  <c r="BZ35" i="4"/>
  <c r="BK35" i="4"/>
  <c r="CB35" i="4"/>
  <c r="BX35" i="4"/>
  <c r="BT35" i="4"/>
  <c r="BV35" i="4"/>
  <c r="CF35" i="4"/>
  <c r="CA35" i="4"/>
  <c r="BW35" i="4"/>
  <c r="BL35" i="4"/>
  <c r="CE46" i="4"/>
  <c r="BZ46" i="4"/>
  <c r="BV46" i="4"/>
  <c r="BK46" i="4"/>
  <c r="BW46" i="4"/>
  <c r="CC46" i="4"/>
  <c r="BY46" i="4"/>
  <c r="BU46" i="4"/>
  <c r="BI46" i="4"/>
  <c r="CF46" i="4"/>
  <c r="CA46" i="4"/>
  <c r="BL46" i="4"/>
  <c r="CB46" i="4"/>
  <c r="BX46" i="4"/>
  <c r="BT46" i="4"/>
  <c r="CB40" i="4"/>
  <c r="BX40" i="4"/>
  <c r="BT40" i="4"/>
  <c r="CC40" i="4"/>
  <c r="CF40" i="4"/>
  <c r="CA40" i="4"/>
  <c r="BW40" i="4"/>
  <c r="BL40" i="4"/>
  <c r="BY40" i="4"/>
  <c r="BI40" i="4"/>
  <c r="CE40" i="4"/>
  <c r="BZ40" i="4"/>
  <c r="BV40" i="4"/>
  <c r="BK40" i="4"/>
  <c r="BU40" i="4"/>
  <c r="CE38" i="4"/>
  <c r="BZ38" i="4"/>
  <c r="BV38" i="4"/>
  <c r="BK38" i="4"/>
  <c r="CA38" i="4"/>
  <c r="BL38" i="4"/>
  <c r="CC38" i="4"/>
  <c r="BY38" i="4"/>
  <c r="BU38" i="4"/>
  <c r="BI38" i="4"/>
  <c r="CF38" i="4"/>
  <c r="BW38" i="4"/>
  <c r="CB38" i="4"/>
  <c r="BX38" i="4"/>
  <c r="BT38" i="4"/>
  <c r="CE32" i="4"/>
  <c r="BZ32" i="4"/>
  <c r="BV32" i="4"/>
  <c r="BK32" i="4"/>
  <c r="CF32" i="4"/>
  <c r="BW32" i="4"/>
  <c r="CC32" i="4"/>
  <c r="BY32" i="4"/>
  <c r="BU32" i="4"/>
  <c r="BI32" i="4"/>
  <c r="CA32" i="4"/>
  <c r="BL32" i="4"/>
  <c r="CB32" i="4"/>
  <c r="BX32" i="4"/>
  <c r="BT32" i="4"/>
  <c r="DS87" i="4"/>
  <c r="DR87" i="4"/>
  <c r="DQ87" i="4"/>
  <c r="DP87" i="4"/>
  <c r="DG87" i="4"/>
  <c r="DE87" i="4"/>
  <c r="DH87" i="4"/>
  <c r="DS71" i="4"/>
  <c r="DR71" i="4"/>
  <c r="DQ71" i="4"/>
  <c r="DP71" i="4"/>
  <c r="DG71" i="4"/>
  <c r="DE71" i="4"/>
  <c r="DH71" i="4"/>
  <c r="DT67" i="4"/>
  <c r="DS67" i="4"/>
  <c r="DR67" i="4"/>
  <c r="DQ67" i="4"/>
  <c r="DP67" i="4"/>
  <c r="DH67" i="4"/>
  <c r="DG67" i="4"/>
  <c r="DE67" i="4"/>
  <c r="DX59" i="4"/>
  <c r="DT59" i="4"/>
  <c r="EB59" i="4"/>
  <c r="DW59" i="4"/>
  <c r="EA59" i="4"/>
  <c r="DV59" i="4"/>
  <c r="DY59" i="4"/>
  <c r="DU59" i="4"/>
  <c r="DY49" i="4"/>
  <c r="DU49" i="4"/>
  <c r="DX49" i="4"/>
  <c r="DT49" i="4"/>
  <c r="EB49" i="4"/>
  <c r="DW49" i="4"/>
  <c r="EA49" i="4"/>
  <c r="DV49" i="4"/>
  <c r="EB47" i="4"/>
  <c r="DW47" i="4"/>
  <c r="EA47" i="4"/>
  <c r="DV47" i="4"/>
  <c r="DY47" i="4"/>
  <c r="DU47" i="4"/>
  <c r="DX47" i="4"/>
  <c r="DT47" i="4"/>
  <c r="DY45" i="4"/>
  <c r="DU45" i="4"/>
  <c r="DX45" i="4"/>
  <c r="DT45" i="4"/>
  <c r="EB45" i="4"/>
  <c r="DW45" i="4"/>
  <c r="EA45" i="4"/>
  <c r="DV45" i="4"/>
  <c r="EB39" i="4"/>
  <c r="DW39" i="4"/>
  <c r="EA39" i="4"/>
  <c r="DV39" i="4"/>
  <c r="DY39" i="4"/>
  <c r="DU39" i="4"/>
  <c r="DX39" i="4"/>
  <c r="DT39" i="4"/>
  <c r="DY35" i="4"/>
  <c r="DU35" i="4"/>
  <c r="DX35" i="4"/>
  <c r="DT35" i="4"/>
  <c r="EB35" i="4"/>
  <c r="DW35" i="4"/>
  <c r="EA35" i="4"/>
  <c r="DV35" i="4"/>
  <c r="EB33" i="4"/>
  <c r="DW33" i="4"/>
  <c r="EA33" i="4"/>
  <c r="DV33" i="4"/>
  <c r="DY33" i="4"/>
  <c r="DU33" i="4"/>
  <c r="DX33" i="4"/>
  <c r="DT33" i="4"/>
  <c r="EA31" i="4"/>
  <c r="DV31" i="4"/>
  <c r="DY31" i="4"/>
  <c r="DU31" i="4"/>
  <c r="DX31" i="4"/>
  <c r="DT31" i="4"/>
  <c r="EB31" i="4"/>
  <c r="DW31" i="4"/>
  <c r="DH79" i="4"/>
  <c r="DS79" i="4"/>
  <c r="DR79" i="4"/>
  <c r="DQ79" i="4"/>
  <c r="DP79" i="4"/>
  <c r="DG79" i="4"/>
  <c r="DE79" i="4"/>
  <c r="DS77" i="4"/>
  <c r="DR77" i="4"/>
  <c r="DQ77" i="4"/>
  <c r="DP77" i="4"/>
  <c r="DG77" i="4"/>
  <c r="DE77" i="4"/>
  <c r="DH77" i="4"/>
  <c r="DH70" i="4"/>
  <c r="DS70" i="4"/>
  <c r="DR70" i="4"/>
  <c r="DQ70" i="4"/>
  <c r="DP70" i="4"/>
  <c r="DG70" i="4"/>
  <c r="DE70" i="4"/>
  <c r="DH74" i="4"/>
  <c r="DS74" i="4"/>
  <c r="DR74" i="4"/>
  <c r="DQ74" i="4"/>
  <c r="DP74" i="4"/>
  <c r="DG74" i="4"/>
  <c r="DE74" i="4"/>
  <c r="DH89" i="4"/>
  <c r="DS89" i="4"/>
  <c r="DR89" i="4"/>
  <c r="DQ89" i="4"/>
  <c r="DP89" i="4"/>
  <c r="DG89" i="4"/>
  <c r="DE89" i="4"/>
  <c r="DS73" i="4"/>
  <c r="DR73" i="4"/>
  <c r="DQ73" i="4"/>
  <c r="DP73" i="4"/>
  <c r="DG73" i="4"/>
  <c r="DE73" i="4"/>
  <c r="DH73" i="4"/>
  <c r="DS69" i="4"/>
  <c r="DR69" i="4"/>
  <c r="DQ69" i="4"/>
  <c r="DP69" i="4"/>
  <c r="DG69" i="4"/>
  <c r="DE69" i="4"/>
  <c r="DH69" i="4"/>
  <c r="DY60" i="4"/>
  <c r="DU60" i="4"/>
  <c r="DX60" i="4"/>
  <c r="DT60" i="4"/>
  <c r="EB60" i="4"/>
  <c r="DW60" i="4"/>
  <c r="EA60" i="4"/>
  <c r="DV60" i="4"/>
  <c r="EA50" i="4"/>
  <c r="DV50" i="4"/>
  <c r="DY50" i="4"/>
  <c r="DU50" i="4"/>
  <c r="DX50" i="4"/>
  <c r="DT50" i="4"/>
  <c r="EB50" i="4"/>
  <c r="DW50" i="4"/>
  <c r="DX48" i="4"/>
  <c r="DT48" i="4"/>
  <c r="EB48" i="4"/>
  <c r="DW48" i="4"/>
  <c r="EA48" i="4"/>
  <c r="DV48" i="4"/>
  <c r="DY48" i="4"/>
  <c r="DU48" i="4"/>
  <c r="EA46" i="4"/>
  <c r="DV46" i="4"/>
  <c r="DY46" i="4"/>
  <c r="DU46" i="4"/>
  <c r="DX46" i="4"/>
  <c r="DT46" i="4"/>
  <c r="EB46" i="4"/>
  <c r="DW46" i="4"/>
  <c r="DX40" i="4"/>
  <c r="DT40" i="4"/>
  <c r="EB40" i="4"/>
  <c r="DW40" i="4"/>
  <c r="EA40" i="4"/>
  <c r="DV40" i="4"/>
  <c r="DY40" i="4"/>
  <c r="DU40" i="4"/>
  <c r="EA38" i="4"/>
  <c r="DV38" i="4"/>
  <c r="DY38" i="4"/>
  <c r="DU38" i="4"/>
  <c r="DX38" i="4"/>
  <c r="DT38" i="4"/>
  <c r="EB38" i="4"/>
  <c r="DW38" i="4"/>
  <c r="DX34" i="4"/>
  <c r="DT34" i="4"/>
  <c r="EB34" i="4"/>
  <c r="DW34" i="4"/>
  <c r="EA34" i="4"/>
  <c r="DV34" i="4"/>
  <c r="DY34" i="4"/>
  <c r="DU34" i="4"/>
  <c r="EA32" i="4"/>
  <c r="DV32" i="4"/>
  <c r="DY32" i="4"/>
  <c r="DU32" i="4"/>
  <c r="DX32" i="4"/>
  <c r="DT32" i="4"/>
  <c r="EB32" i="4"/>
  <c r="DW32" i="4"/>
  <c r="DS80" i="4"/>
  <c r="DR80" i="4"/>
  <c r="DQ80" i="4"/>
  <c r="DP80" i="4"/>
  <c r="DG80" i="4"/>
  <c r="DE80" i="4"/>
  <c r="DH80" i="4"/>
  <c r="DS88" i="4"/>
  <c r="DR88" i="4"/>
  <c r="DQ88" i="4"/>
  <c r="DP88" i="4"/>
  <c r="DG88" i="4"/>
  <c r="DE88" i="4"/>
  <c r="DH88" i="4"/>
  <c r="DS72" i="4"/>
  <c r="DR72" i="4"/>
  <c r="DQ72" i="4"/>
  <c r="DP72" i="4"/>
  <c r="DG72" i="4"/>
  <c r="DE72" i="4"/>
  <c r="DH72" i="4"/>
  <c r="DS68" i="4"/>
  <c r="DR68" i="4"/>
  <c r="DQ68" i="4"/>
  <c r="DP68" i="4"/>
  <c r="DG68" i="4"/>
  <c r="DE68" i="4"/>
  <c r="DH68" i="4"/>
  <c r="CZ67" i="4"/>
  <c r="CY67" i="4"/>
  <c r="CX67" i="4"/>
  <c r="CW67" i="4"/>
  <c r="DD67" i="4"/>
  <c r="DC67" i="4"/>
  <c r="CV67" i="4"/>
  <c r="CR67" i="4"/>
  <c r="DA67" i="4"/>
  <c r="CU67" i="4"/>
  <c r="CJ67" i="4"/>
  <c r="CT67" i="4"/>
  <c r="CI67" i="4"/>
  <c r="CS67" i="4"/>
  <c r="CG67" i="4"/>
  <c r="DR49" i="4"/>
  <c r="DG49" i="4"/>
  <c r="DQ49" i="4"/>
  <c r="DE49" i="4"/>
  <c r="DP49" i="4"/>
  <c r="DC49" i="4"/>
  <c r="CX49" i="4"/>
  <c r="CT49" i="4"/>
  <c r="CI49" i="4"/>
  <c r="DS49" i="4"/>
  <c r="DH49" i="4"/>
  <c r="DD49" i="4"/>
  <c r="CW49" i="4"/>
  <c r="DA49" i="4"/>
  <c r="CY49" i="4"/>
  <c r="CS49" i="4"/>
  <c r="CR49" i="4"/>
  <c r="CZ49" i="4"/>
  <c r="CV49" i="4"/>
  <c r="CJ49" i="4"/>
  <c r="CG49" i="4"/>
  <c r="CU49" i="4"/>
  <c r="DP47" i="4"/>
  <c r="DS47" i="4"/>
  <c r="DH47" i="4"/>
  <c r="DR47" i="4"/>
  <c r="DG47" i="4"/>
  <c r="CZ47" i="4"/>
  <c r="CV47" i="4"/>
  <c r="CR47" i="4"/>
  <c r="DE47" i="4"/>
  <c r="DQ47" i="4"/>
  <c r="DA47" i="4"/>
  <c r="DD47" i="4"/>
  <c r="CX47" i="4"/>
  <c r="CJ47" i="4"/>
  <c r="CU47" i="4"/>
  <c r="CI47" i="4"/>
  <c r="DC47" i="4"/>
  <c r="CY47" i="4"/>
  <c r="CW47" i="4"/>
  <c r="CT47" i="4"/>
  <c r="CG47" i="4"/>
  <c r="CS47" i="4"/>
  <c r="DR45" i="4"/>
  <c r="DG45" i="4"/>
  <c r="DQ45" i="4"/>
  <c r="DE45" i="4"/>
  <c r="DP45" i="4"/>
  <c r="DC45" i="4"/>
  <c r="CX45" i="4"/>
  <c r="CT45" i="4"/>
  <c r="CI45" i="4"/>
  <c r="DS45" i="4"/>
  <c r="DH45" i="4"/>
  <c r="CY45" i="4"/>
  <c r="CZ45" i="4"/>
  <c r="CW45" i="4"/>
  <c r="CU45" i="4"/>
  <c r="CG45" i="4"/>
  <c r="CS45" i="4"/>
  <c r="DA45" i="4"/>
  <c r="CR45" i="4"/>
  <c r="DD45" i="4"/>
  <c r="CV45" i="4"/>
  <c r="CJ45" i="4"/>
  <c r="DP39" i="4"/>
  <c r="DS39" i="4"/>
  <c r="DH39" i="4"/>
  <c r="DR39" i="4"/>
  <c r="CZ39" i="4"/>
  <c r="CV39" i="4"/>
  <c r="CR39" i="4"/>
  <c r="DQ39" i="4"/>
  <c r="DC39" i="4"/>
  <c r="CW39" i="4"/>
  <c r="DG39" i="4"/>
  <c r="CY39" i="4"/>
  <c r="CS39" i="4"/>
  <c r="DA39" i="4"/>
  <c r="CJ39" i="4"/>
  <c r="DD39" i="4"/>
  <c r="CX39" i="4"/>
  <c r="CU39" i="4"/>
  <c r="CI39" i="4"/>
  <c r="DE39" i="4"/>
  <c r="CT39" i="4"/>
  <c r="CG39" i="4"/>
  <c r="DR35" i="4"/>
  <c r="DG35" i="4"/>
  <c r="DQ35" i="4"/>
  <c r="DE35" i="4"/>
  <c r="DP35" i="4"/>
  <c r="DS35" i="4"/>
  <c r="DC35" i="4"/>
  <c r="CX35" i="4"/>
  <c r="CT35" i="4"/>
  <c r="CI35" i="4"/>
  <c r="DH35" i="4"/>
  <c r="CZ35" i="4"/>
  <c r="DA35" i="4"/>
  <c r="CV35" i="4"/>
  <c r="CJ35" i="4"/>
  <c r="DD35" i="4"/>
  <c r="CU35" i="4"/>
  <c r="CG35" i="4"/>
  <c r="CW35" i="4"/>
  <c r="CS35" i="4"/>
  <c r="CY35" i="4"/>
  <c r="CR35" i="4"/>
  <c r="DP33" i="4"/>
  <c r="DS33" i="4"/>
  <c r="DH33" i="4"/>
  <c r="DR33" i="4"/>
  <c r="DG33" i="4"/>
  <c r="DQ33" i="4"/>
  <c r="CZ33" i="4"/>
  <c r="CV33" i="4"/>
  <c r="CR33" i="4"/>
  <c r="DE33" i="4"/>
  <c r="DD33" i="4"/>
  <c r="CX33" i="4"/>
  <c r="CT33" i="4"/>
  <c r="CG33" i="4"/>
  <c r="DC33" i="4"/>
  <c r="CW33" i="4"/>
  <c r="CS33" i="4"/>
  <c r="CY33" i="4"/>
  <c r="CJ33" i="4"/>
  <c r="CU33" i="4"/>
  <c r="CI33" i="4"/>
  <c r="DA33" i="4"/>
  <c r="DS31" i="4"/>
  <c r="DH31" i="4"/>
  <c r="DR31" i="4"/>
  <c r="DG31" i="4"/>
  <c r="DQ31" i="4"/>
  <c r="DP31" i="4"/>
  <c r="DE31" i="4"/>
  <c r="DD31" i="4"/>
  <c r="CY31" i="4"/>
  <c r="CU31" i="4"/>
  <c r="CJ31" i="4"/>
  <c r="DC31" i="4"/>
  <c r="CW31" i="4"/>
  <c r="CX31" i="4"/>
  <c r="CS31" i="4"/>
  <c r="CZ31" i="4"/>
  <c r="CR31" i="4"/>
  <c r="CV31" i="4"/>
  <c r="CI31" i="4"/>
  <c r="DA31" i="4"/>
  <c r="CT31" i="4"/>
  <c r="CG31" i="4"/>
  <c r="DD79" i="4"/>
  <c r="DC79" i="4"/>
  <c r="DA79" i="4"/>
  <c r="CZ79" i="4"/>
  <c r="CY79" i="4"/>
  <c r="CX79" i="4"/>
  <c r="CW79" i="4"/>
  <c r="CS79" i="4"/>
  <c r="CG79" i="4"/>
  <c r="CV79" i="4"/>
  <c r="CR79" i="4"/>
  <c r="CU79" i="4"/>
  <c r="CJ79" i="4"/>
  <c r="CT79" i="4"/>
  <c r="CI79" i="4"/>
  <c r="DA71" i="4"/>
  <c r="CZ71" i="4"/>
  <c r="DD71" i="4"/>
  <c r="CS71" i="4"/>
  <c r="CG71" i="4"/>
  <c r="DC71" i="4"/>
  <c r="CX71" i="4"/>
  <c r="CV71" i="4"/>
  <c r="CR71" i="4"/>
  <c r="CU71" i="4"/>
  <c r="CJ71" i="4"/>
  <c r="CT71" i="4"/>
  <c r="CI71" i="4"/>
  <c r="CW71" i="4"/>
  <c r="CY71" i="4"/>
  <c r="DD70" i="4"/>
  <c r="DC70" i="4"/>
  <c r="DA70" i="4"/>
  <c r="CZ70" i="4"/>
  <c r="CX70" i="4"/>
  <c r="CV70" i="4"/>
  <c r="CR70" i="4"/>
  <c r="CU70" i="4"/>
  <c r="CJ70" i="4"/>
  <c r="CY70" i="4"/>
  <c r="CW70" i="4"/>
  <c r="CT70" i="4"/>
  <c r="CI70" i="4"/>
  <c r="CS70" i="4"/>
  <c r="CG70" i="4"/>
  <c r="DD74" i="4"/>
  <c r="DC74" i="4"/>
  <c r="DA74" i="4"/>
  <c r="CZ74" i="4"/>
  <c r="CY74" i="4"/>
  <c r="CX74" i="4"/>
  <c r="CW74" i="4"/>
  <c r="CV74" i="4"/>
  <c r="CU74" i="4"/>
  <c r="CT74" i="4"/>
  <c r="CS74" i="4"/>
  <c r="CR74" i="4"/>
  <c r="CJ74" i="4"/>
  <c r="CI74" i="4"/>
  <c r="CG74" i="4"/>
  <c r="CY87" i="4"/>
  <c r="CX87" i="4"/>
  <c r="CW87" i="4"/>
  <c r="CV87" i="4"/>
  <c r="CU87" i="4"/>
  <c r="CT87" i="4"/>
  <c r="CS87" i="4"/>
  <c r="CR87" i="4"/>
  <c r="CJ87" i="4"/>
  <c r="CI87" i="4"/>
  <c r="CG87" i="4"/>
  <c r="DC87" i="4"/>
  <c r="DA87" i="4"/>
  <c r="CZ87" i="4"/>
  <c r="DD87" i="4"/>
  <c r="CZ93" i="4"/>
  <c r="J53" i="35" s="1"/>
  <c r="F53" i="35" s="1"/>
  <c r="H53" i="35" s="1"/>
  <c r="CJ93" i="4"/>
  <c r="CU93" i="4"/>
  <c r="J55" i="24" s="1"/>
  <c r="F55" i="24" s="1"/>
  <c r="H55" i="24" s="1"/>
  <c r="CG93" i="4"/>
  <c r="DC93" i="4"/>
  <c r="J53" i="28" s="1"/>
  <c r="F53" i="28" s="1"/>
  <c r="CI93" i="4"/>
  <c r="J122" i="49" s="1"/>
  <c r="F122" i="49" s="1"/>
  <c r="CV93" i="4"/>
  <c r="J79" i="25" s="1"/>
  <c r="F79" i="25" s="1"/>
  <c r="DD93" i="4"/>
  <c r="J53" i="37" s="1"/>
  <c r="F53" i="37" s="1"/>
  <c r="CT93" i="4"/>
  <c r="CW93" i="4"/>
  <c r="CR93" i="4"/>
  <c r="J56" i="23" s="1"/>
  <c r="CS93" i="4"/>
  <c r="CY93" i="4"/>
  <c r="CX93" i="4"/>
  <c r="J82" i="26" s="1"/>
  <c r="F82" i="26" s="1"/>
  <c r="H82" i="26" s="1"/>
  <c r="DA93" i="4"/>
  <c r="AN93" i="4"/>
  <c r="AM93" i="4"/>
  <c r="J120" i="49" s="1"/>
  <c r="BE93" i="4"/>
  <c r="BD93" i="4"/>
  <c r="J51" i="35" s="1"/>
  <c r="F51" i="35" s="1"/>
  <c r="H51" i="35" s="1"/>
  <c r="BC93" i="4"/>
  <c r="BB93" i="4"/>
  <c r="J80" i="26" s="1"/>
  <c r="F80" i="26" s="1"/>
  <c r="H80" i="26" s="1"/>
  <c r="BA93" i="4"/>
  <c r="AZ93" i="4"/>
  <c r="J77" i="25" s="1"/>
  <c r="F77" i="25" s="1"/>
  <c r="AY93" i="4"/>
  <c r="J53" i="24" s="1"/>
  <c r="F53" i="24" s="1"/>
  <c r="H53" i="24" s="1"/>
  <c r="AX93" i="4"/>
  <c r="BH93" i="4"/>
  <c r="J51" i="37" s="1"/>
  <c r="BG93" i="4"/>
  <c r="J51" i="28" s="1"/>
  <c r="AW93" i="4"/>
  <c r="DD89" i="4"/>
  <c r="DC89" i="4"/>
  <c r="DA89" i="4"/>
  <c r="CZ89" i="4"/>
  <c r="CU89" i="4"/>
  <c r="CJ89" i="4"/>
  <c r="CX89" i="4"/>
  <c r="CT89" i="4"/>
  <c r="CI89" i="4"/>
  <c r="CS89" i="4"/>
  <c r="CG89" i="4"/>
  <c r="CY89" i="4"/>
  <c r="CV89" i="4"/>
  <c r="CR89" i="4"/>
  <c r="CW89" i="4"/>
  <c r="DD73" i="4"/>
  <c r="DC73" i="4"/>
  <c r="DA73" i="4"/>
  <c r="CZ73" i="4"/>
  <c r="CY73" i="4"/>
  <c r="CX73" i="4"/>
  <c r="CW73" i="4"/>
  <c r="CT73" i="4"/>
  <c r="CI73" i="4"/>
  <c r="CS73" i="4"/>
  <c r="CG73" i="4"/>
  <c r="CV73" i="4"/>
  <c r="CR73" i="4"/>
  <c r="CU73" i="4"/>
  <c r="CJ73" i="4"/>
  <c r="CZ69" i="4"/>
  <c r="DD69" i="4"/>
  <c r="CY69" i="4"/>
  <c r="CX69" i="4"/>
  <c r="CW69" i="4"/>
  <c r="CV69" i="4"/>
  <c r="CU69" i="4"/>
  <c r="CT69" i="4"/>
  <c r="CS69" i="4"/>
  <c r="CR69" i="4"/>
  <c r="CJ69" i="4"/>
  <c r="CI69" i="4"/>
  <c r="CG69" i="4"/>
  <c r="DC69" i="4"/>
  <c r="DA69" i="4"/>
  <c r="DR60" i="4"/>
  <c r="DG60" i="4"/>
  <c r="DQ60" i="4"/>
  <c r="DE60" i="4"/>
  <c r="DP60" i="4"/>
  <c r="DH60" i="4"/>
  <c r="DC60" i="4"/>
  <c r="CX60" i="4"/>
  <c r="CT60" i="4"/>
  <c r="CI60" i="4"/>
  <c r="DS60" i="4"/>
  <c r="DA60" i="4"/>
  <c r="DD60" i="4"/>
  <c r="CZ60" i="4"/>
  <c r="CR60" i="4"/>
  <c r="CW60" i="4"/>
  <c r="CV60" i="4"/>
  <c r="CJ60" i="4"/>
  <c r="CY60" i="4"/>
  <c r="CU60" i="4"/>
  <c r="CG60" i="4"/>
  <c r="CS60" i="4"/>
  <c r="DS50" i="4"/>
  <c r="DH50" i="4"/>
  <c r="DR50" i="4"/>
  <c r="DG50" i="4"/>
  <c r="DQ50" i="4"/>
  <c r="DD50" i="4"/>
  <c r="CY50" i="4"/>
  <c r="CU50" i="4"/>
  <c r="CJ50" i="4"/>
  <c r="DE50" i="4"/>
  <c r="CX50" i="4"/>
  <c r="CT50" i="4"/>
  <c r="CG50" i="4"/>
  <c r="DA50" i="4"/>
  <c r="CS50" i="4"/>
  <c r="CR50" i="4"/>
  <c r="DP50" i="4"/>
  <c r="CV50" i="4"/>
  <c r="DC50" i="4"/>
  <c r="CW50" i="4"/>
  <c r="CZ50" i="4"/>
  <c r="CI50" i="4"/>
  <c r="DQ48" i="4"/>
  <c r="DE48" i="4"/>
  <c r="DP48" i="4"/>
  <c r="DS48" i="4"/>
  <c r="DH48" i="4"/>
  <c r="DA48" i="4"/>
  <c r="CW48" i="4"/>
  <c r="CS48" i="4"/>
  <c r="CG48" i="4"/>
  <c r="DG48" i="4"/>
  <c r="DC48" i="4"/>
  <c r="DR48" i="4"/>
  <c r="CR48" i="4"/>
  <c r="DD48" i="4"/>
  <c r="CZ48" i="4"/>
  <c r="CX48" i="4"/>
  <c r="CV48" i="4"/>
  <c r="CJ48" i="4"/>
  <c r="CU48" i="4"/>
  <c r="CI48" i="4"/>
  <c r="CY48" i="4"/>
  <c r="CT48" i="4"/>
  <c r="DS46" i="4"/>
  <c r="DH46" i="4"/>
  <c r="DR46" i="4"/>
  <c r="DG46" i="4"/>
  <c r="DQ46" i="4"/>
  <c r="DE46" i="4"/>
  <c r="DD46" i="4"/>
  <c r="CY46" i="4"/>
  <c r="CU46" i="4"/>
  <c r="CJ46" i="4"/>
  <c r="CZ46" i="4"/>
  <c r="CV46" i="4"/>
  <c r="CI46" i="4"/>
  <c r="DC46" i="4"/>
  <c r="CW46" i="4"/>
  <c r="CT46" i="4"/>
  <c r="CG46" i="4"/>
  <c r="DP46" i="4"/>
  <c r="CS46" i="4"/>
  <c r="CR46" i="4"/>
  <c r="CX46" i="4"/>
  <c r="DA46" i="4"/>
  <c r="DQ40" i="4"/>
  <c r="DE40" i="4"/>
  <c r="DP40" i="4"/>
  <c r="DS40" i="4"/>
  <c r="DH40" i="4"/>
  <c r="DA40" i="4"/>
  <c r="CW40" i="4"/>
  <c r="CS40" i="4"/>
  <c r="CG40" i="4"/>
  <c r="DR40" i="4"/>
  <c r="DD40" i="4"/>
  <c r="CX40" i="4"/>
  <c r="DC40" i="4"/>
  <c r="CT40" i="4"/>
  <c r="DG40" i="4"/>
  <c r="CY40" i="4"/>
  <c r="CR40" i="4"/>
  <c r="CV40" i="4"/>
  <c r="CJ40" i="4"/>
  <c r="CZ40" i="4"/>
  <c r="CU40" i="4"/>
  <c r="CI40" i="4"/>
  <c r="DS38" i="4"/>
  <c r="DH38" i="4"/>
  <c r="DR38" i="4"/>
  <c r="DG38" i="4"/>
  <c r="DQ38" i="4"/>
  <c r="DD38" i="4"/>
  <c r="CY38" i="4"/>
  <c r="CU38" i="4"/>
  <c r="CJ38" i="4"/>
  <c r="DP38" i="4"/>
  <c r="DA38" i="4"/>
  <c r="CR38" i="4"/>
  <c r="CX38" i="4"/>
  <c r="CV38" i="4"/>
  <c r="CI38" i="4"/>
  <c r="DE38" i="4"/>
  <c r="CZ38" i="4"/>
  <c r="CT38" i="4"/>
  <c r="CG38" i="4"/>
  <c r="DC38" i="4"/>
  <c r="CW38" i="4"/>
  <c r="CS38" i="4"/>
  <c r="DQ34" i="4"/>
  <c r="DE34" i="4"/>
  <c r="DP34" i="4"/>
  <c r="DS34" i="4"/>
  <c r="DH34" i="4"/>
  <c r="DR34" i="4"/>
  <c r="DA34" i="4"/>
  <c r="CW34" i="4"/>
  <c r="CS34" i="4"/>
  <c r="CG34" i="4"/>
  <c r="DG34" i="4"/>
  <c r="CY34" i="4"/>
  <c r="DD34" i="4"/>
  <c r="CX34" i="4"/>
  <c r="CU34" i="4"/>
  <c r="CI34" i="4"/>
  <c r="CZ34" i="4"/>
  <c r="CT34" i="4"/>
  <c r="DC34" i="4"/>
  <c r="CR34" i="4"/>
  <c r="CV34" i="4"/>
  <c r="CJ34" i="4"/>
  <c r="DS32" i="4"/>
  <c r="DH32" i="4"/>
  <c r="DR32" i="4"/>
  <c r="DG32" i="4"/>
  <c r="DQ32" i="4"/>
  <c r="DP32" i="4"/>
  <c r="DE32" i="4"/>
  <c r="DD32" i="4"/>
  <c r="CY32" i="4"/>
  <c r="CU32" i="4"/>
  <c r="CJ32" i="4"/>
  <c r="DC32" i="4"/>
  <c r="CW32" i="4"/>
  <c r="CZ32" i="4"/>
  <c r="CS32" i="4"/>
  <c r="CR32" i="4"/>
  <c r="DA32" i="4"/>
  <c r="CV32" i="4"/>
  <c r="CI32" i="4"/>
  <c r="CT32" i="4"/>
  <c r="CG32" i="4"/>
  <c r="CX32" i="4"/>
  <c r="DD80" i="4"/>
  <c r="DC80" i="4"/>
  <c r="DA80" i="4"/>
  <c r="CZ80" i="4"/>
  <c r="CY80" i="4"/>
  <c r="CX80" i="4"/>
  <c r="CW80" i="4"/>
  <c r="CV80" i="4"/>
  <c r="CU80" i="4"/>
  <c r="CT80" i="4"/>
  <c r="CS80" i="4"/>
  <c r="CR80" i="4"/>
  <c r="CJ80" i="4"/>
  <c r="CI80" i="4"/>
  <c r="CG80" i="4"/>
  <c r="DQ59" i="4"/>
  <c r="DE59" i="4"/>
  <c r="DP59" i="4"/>
  <c r="DS59" i="4"/>
  <c r="DH59" i="4"/>
  <c r="DA59" i="4"/>
  <c r="CW59" i="4"/>
  <c r="CS59" i="4"/>
  <c r="CG59" i="4"/>
  <c r="DG59" i="4"/>
  <c r="CZ59" i="4"/>
  <c r="CV59" i="4"/>
  <c r="CJ59" i="4"/>
  <c r="DR59" i="4"/>
  <c r="DC59" i="4"/>
  <c r="CY59" i="4"/>
  <c r="CU59" i="4"/>
  <c r="CI59" i="4"/>
  <c r="CT59" i="4"/>
  <c r="CR59" i="4"/>
  <c r="DD59" i="4"/>
  <c r="CX59" i="4"/>
  <c r="DA77" i="4"/>
  <c r="CZ77" i="4"/>
  <c r="CV77" i="4"/>
  <c r="CR77" i="4"/>
  <c r="CY77" i="4"/>
  <c r="CW77" i="4"/>
  <c r="CU77" i="4"/>
  <c r="CJ77" i="4"/>
  <c r="DD77" i="4"/>
  <c r="CT77" i="4"/>
  <c r="CI77" i="4"/>
  <c r="DC77" i="4"/>
  <c r="CG77" i="4"/>
  <c r="CX77" i="4"/>
  <c r="CS77" i="4"/>
  <c r="DD88" i="4"/>
  <c r="DC88" i="4"/>
  <c r="DA88" i="4"/>
  <c r="CX88" i="4"/>
  <c r="CT88" i="4"/>
  <c r="CI88" i="4"/>
  <c r="CZ88" i="4"/>
  <c r="CS88" i="4"/>
  <c r="CG88" i="4"/>
  <c r="CY88" i="4"/>
  <c r="CW88" i="4"/>
  <c r="CV88" i="4"/>
  <c r="CR88" i="4"/>
  <c r="CJ88" i="4"/>
  <c r="CU88" i="4"/>
  <c r="CY72" i="4"/>
  <c r="CX72" i="4"/>
  <c r="CW72" i="4"/>
  <c r="CV72" i="4"/>
  <c r="CU72" i="4"/>
  <c r="CT72" i="4"/>
  <c r="CS72" i="4"/>
  <c r="CR72" i="4"/>
  <c r="CJ72" i="4"/>
  <c r="CI72" i="4"/>
  <c r="CG72" i="4"/>
  <c r="DC72" i="4"/>
  <c r="DA72" i="4"/>
  <c r="DD72" i="4"/>
  <c r="CZ72" i="4"/>
  <c r="DD68" i="4"/>
  <c r="DC68" i="4"/>
  <c r="DA68" i="4"/>
  <c r="CZ68" i="4"/>
  <c r="CY68" i="4"/>
  <c r="CX68" i="4"/>
  <c r="CW68" i="4"/>
  <c r="CV68" i="4"/>
  <c r="CU68" i="4"/>
  <c r="CT68" i="4"/>
  <c r="CS68" i="4"/>
  <c r="CR68" i="4"/>
  <c r="CJ68" i="4"/>
  <c r="CI68" i="4"/>
  <c r="CG68" i="4"/>
  <c r="AZ79" i="4"/>
  <c r="BG79" i="4"/>
  <c r="BB79" i="4"/>
  <c r="BE79" i="4"/>
  <c r="BA79" i="4"/>
  <c r="BD79" i="4"/>
  <c r="BH79" i="4"/>
  <c r="BC79" i="4"/>
  <c r="BD46" i="4"/>
  <c r="BH46" i="4"/>
  <c r="BC46" i="4"/>
  <c r="BG46" i="4"/>
  <c r="BB46" i="4"/>
  <c r="BE46" i="4"/>
  <c r="BA46" i="4"/>
  <c r="BG40" i="4"/>
  <c r="BB40" i="4"/>
  <c r="BE40" i="4"/>
  <c r="BA40" i="4"/>
  <c r="BD40" i="4"/>
  <c r="BH40" i="4"/>
  <c r="BC40" i="4"/>
  <c r="BD38" i="4"/>
  <c r="BH38" i="4"/>
  <c r="BC38" i="4"/>
  <c r="BG38" i="4"/>
  <c r="BB38" i="4"/>
  <c r="BE38" i="4"/>
  <c r="BA38" i="4"/>
  <c r="BD32" i="4"/>
  <c r="BH32" i="4"/>
  <c r="BC32" i="4"/>
  <c r="BG32" i="4"/>
  <c r="BB32" i="4"/>
  <c r="BE32" i="4"/>
  <c r="BA32" i="4"/>
  <c r="BH45" i="4"/>
  <c r="BC45" i="4"/>
  <c r="BG45" i="4"/>
  <c r="BB45" i="4"/>
  <c r="BE45" i="4"/>
  <c r="BA45" i="4"/>
  <c r="BD45" i="4"/>
  <c r="BH35" i="4"/>
  <c r="BC35" i="4"/>
  <c r="BG35" i="4"/>
  <c r="BB35" i="4"/>
  <c r="BE35" i="4"/>
  <c r="BA35" i="4"/>
  <c r="BD35" i="4"/>
  <c r="AY79" i="4"/>
  <c r="AN79" i="4"/>
  <c r="AK79" i="4"/>
  <c r="AX79" i="4"/>
  <c r="AM79" i="4"/>
  <c r="AW79" i="4"/>
  <c r="AV79" i="4"/>
  <c r="AW46" i="4"/>
  <c r="AM46" i="4"/>
  <c r="AK46" i="4"/>
  <c r="AZ46" i="4"/>
  <c r="AV46" i="4"/>
  <c r="AY46" i="4"/>
  <c r="AN46" i="4"/>
  <c r="AX46" i="4"/>
  <c r="AY40" i="4"/>
  <c r="AN40" i="4"/>
  <c r="AX40" i="4"/>
  <c r="AW40" i="4"/>
  <c r="AM40" i="4"/>
  <c r="AK40" i="4"/>
  <c r="AZ40" i="4"/>
  <c r="AV40" i="4"/>
  <c r="AW38" i="4"/>
  <c r="AM38" i="4"/>
  <c r="AK38" i="4"/>
  <c r="AZ38" i="4"/>
  <c r="AV38" i="4"/>
  <c r="AY38" i="4"/>
  <c r="AN38" i="4"/>
  <c r="AX38" i="4"/>
  <c r="AW32" i="4"/>
  <c r="AM32" i="4"/>
  <c r="AK32" i="4"/>
  <c r="AZ32" i="4"/>
  <c r="AV32" i="4"/>
  <c r="AY32" i="4"/>
  <c r="AN32" i="4"/>
  <c r="AX32" i="4"/>
  <c r="AZ45" i="4"/>
  <c r="AV45" i="4"/>
  <c r="AY45" i="4"/>
  <c r="AN45" i="4"/>
  <c r="AX45" i="4"/>
  <c r="AW45" i="4"/>
  <c r="AM45" i="4"/>
  <c r="AK45" i="4"/>
  <c r="AZ35" i="4"/>
  <c r="AV35" i="4"/>
  <c r="AY35" i="4"/>
  <c r="AN35" i="4"/>
  <c r="AX35" i="4"/>
  <c r="AW35" i="4"/>
  <c r="AM35" i="4"/>
  <c r="AK35" i="4"/>
  <c r="H121" i="49" l="1"/>
  <c r="J56" i="49"/>
  <c r="H122" i="49"/>
  <c r="J57" i="49"/>
  <c r="J123" i="49"/>
  <c r="F120" i="49"/>
  <c r="J55" i="49" s="1"/>
  <c r="BM90" i="4"/>
  <c r="DI90" i="4"/>
  <c r="AO90" i="4"/>
  <c r="F43" i="46"/>
  <c r="CK90" i="4"/>
  <c r="J54" i="32"/>
  <c r="F54" i="32" s="1"/>
  <c r="H54" i="32" s="1"/>
  <c r="J54" i="48"/>
  <c r="F54" i="48" s="1"/>
  <c r="H54" i="48" s="1"/>
  <c r="J53" i="32"/>
  <c r="F53" i="32" s="1"/>
  <c r="H53" i="32" s="1"/>
  <c r="J53" i="48"/>
  <c r="F53" i="48" s="1"/>
  <c r="H53" i="48" s="1"/>
  <c r="J55" i="32"/>
  <c r="F55" i="32" s="1"/>
  <c r="H55" i="32" s="1"/>
  <c r="J55" i="48"/>
  <c r="F55" i="48" s="1"/>
  <c r="H55" i="48" s="1"/>
  <c r="H39" i="46"/>
  <c r="H43" i="46" s="1"/>
  <c r="BJ90" i="4"/>
  <c r="J47" i="46" s="1"/>
  <c r="AL90" i="4"/>
  <c r="J46" i="46" s="1"/>
  <c r="CH90" i="4"/>
  <c r="J48" i="46" s="1"/>
  <c r="J56" i="46"/>
  <c r="AV90" i="4"/>
  <c r="J47" i="23" s="1"/>
  <c r="F47" i="23" s="1"/>
  <c r="H47" i="23" s="1"/>
  <c r="BA90" i="4"/>
  <c r="J73" i="22" s="1"/>
  <c r="AZ90" i="4"/>
  <c r="J70" i="25" s="1"/>
  <c r="F70" i="25" s="1"/>
  <c r="H70" i="25" s="1"/>
  <c r="BL90" i="4"/>
  <c r="AR90" i="4"/>
  <c r="J46" i="44" s="1"/>
  <c r="F46" i="44" s="1"/>
  <c r="AT90" i="4"/>
  <c r="J46" i="42" s="1"/>
  <c r="F46" i="42" s="1"/>
  <c r="AQ90" i="4"/>
  <c r="J46" i="45" s="1"/>
  <c r="DO90" i="4"/>
  <c r="J49" i="41" s="1"/>
  <c r="F49" i="41" s="1"/>
  <c r="CO90" i="4"/>
  <c r="J48" i="43" s="1"/>
  <c r="F48" i="43" s="1"/>
  <c r="BO90" i="4"/>
  <c r="J47" i="45" s="1"/>
  <c r="AU90" i="4"/>
  <c r="BR90" i="4"/>
  <c r="J47" i="42" s="1"/>
  <c r="F47" i="42" s="1"/>
  <c r="DK90" i="4"/>
  <c r="J49" i="45" s="1"/>
  <c r="DM90" i="4"/>
  <c r="J49" i="43" s="1"/>
  <c r="F49" i="43" s="1"/>
  <c r="BS90" i="4"/>
  <c r="J47" i="41" s="1"/>
  <c r="F47" i="41" s="1"/>
  <c r="BP90" i="4"/>
  <c r="J47" i="44" s="1"/>
  <c r="F47" i="44" s="1"/>
  <c r="CQ90" i="4"/>
  <c r="J48" i="41" s="1"/>
  <c r="F48" i="41" s="1"/>
  <c r="CP90" i="4"/>
  <c r="J48" i="42" s="1"/>
  <c r="F48" i="42" s="1"/>
  <c r="CN90" i="4"/>
  <c r="J48" i="44" s="1"/>
  <c r="F48" i="44" s="1"/>
  <c r="BQ90" i="4"/>
  <c r="J47" i="43" s="1"/>
  <c r="F47" i="43" s="1"/>
  <c r="AS90" i="4"/>
  <c r="J46" i="43" s="1"/>
  <c r="F46" i="43" s="1"/>
  <c r="CM90" i="4"/>
  <c r="J48" i="45" s="1"/>
  <c r="DN90" i="4"/>
  <c r="J49" i="42" s="1"/>
  <c r="F49" i="42" s="1"/>
  <c r="DL90" i="4"/>
  <c r="J49" i="44" s="1"/>
  <c r="F49" i="44" s="1"/>
  <c r="AK90" i="4"/>
  <c r="J54" i="33"/>
  <c r="F54" i="33" s="1"/>
  <c r="J55" i="33"/>
  <c r="F55" i="33" s="1"/>
  <c r="BI90" i="4"/>
  <c r="J56" i="33"/>
  <c r="F56" i="33" s="1"/>
  <c r="AY90" i="4"/>
  <c r="J46" i="24" s="1"/>
  <c r="F46" i="24" s="1"/>
  <c r="H46" i="24" s="1"/>
  <c r="BB90" i="4"/>
  <c r="J73" i="26" s="1"/>
  <c r="F73" i="26" s="1"/>
  <c r="H73" i="26" s="1"/>
  <c r="CF90" i="4"/>
  <c r="J45" i="37" s="1"/>
  <c r="F45" i="37" s="1"/>
  <c r="F53" i="45"/>
  <c r="H53" i="45" s="1"/>
  <c r="BG90" i="4"/>
  <c r="J44" i="28" s="1"/>
  <c r="F44" i="28" s="1"/>
  <c r="F55" i="45"/>
  <c r="H55" i="45" s="1"/>
  <c r="CB90" i="4"/>
  <c r="J45" i="35" s="1"/>
  <c r="F45" i="35" s="1"/>
  <c r="H45" i="35" s="1"/>
  <c r="AN90" i="4"/>
  <c r="BK90" i="4"/>
  <c r="BZ90" i="4"/>
  <c r="J74" i="26" s="1"/>
  <c r="F74" i="26" s="1"/>
  <c r="H74" i="26" s="1"/>
  <c r="F54" i="45"/>
  <c r="H54" i="45" s="1"/>
  <c r="AP90" i="4"/>
  <c r="BT90" i="4"/>
  <c r="J48" i="23" s="1"/>
  <c r="F48" i="23" s="1"/>
  <c r="H48" i="23" s="1"/>
  <c r="BH90" i="4"/>
  <c r="J44" i="37" s="1"/>
  <c r="F44" i="37" s="1"/>
  <c r="CC90" i="4"/>
  <c r="J45" i="36" s="1"/>
  <c r="F45" i="36" s="1"/>
  <c r="H45" i="36" s="1"/>
  <c r="AX90" i="4"/>
  <c r="J73" i="21" s="1"/>
  <c r="F73" i="21" s="1"/>
  <c r="H73" i="21" s="1"/>
  <c r="BD90" i="4"/>
  <c r="J44" i="35" s="1"/>
  <c r="F44" i="35" s="1"/>
  <c r="H44" i="35" s="1"/>
  <c r="BV90" i="4"/>
  <c r="J74" i="21" s="1"/>
  <c r="F74" i="21" s="1"/>
  <c r="H74" i="21" s="1"/>
  <c r="CE90" i="4"/>
  <c r="J45" i="28" s="1"/>
  <c r="F45" i="28" s="1"/>
  <c r="BN90" i="4"/>
  <c r="AM90" i="4"/>
  <c r="BU90" i="4"/>
  <c r="CD90" i="4"/>
  <c r="BX90" i="4"/>
  <c r="J71" i="25" s="1"/>
  <c r="F71" i="25" s="1"/>
  <c r="H71" i="25" s="1"/>
  <c r="BY90" i="4"/>
  <c r="J74" i="22" s="1"/>
  <c r="BF90" i="4"/>
  <c r="BW90" i="4"/>
  <c r="J47" i="24" s="1"/>
  <c r="F47" i="24" s="1"/>
  <c r="H47" i="24" s="1"/>
  <c r="BE90" i="4"/>
  <c r="J44" i="39" s="1"/>
  <c r="F44" i="39" s="1"/>
  <c r="H44" i="39" s="1"/>
  <c r="CA90" i="4"/>
  <c r="J45" i="29" s="1"/>
  <c r="F45" i="29" s="1"/>
  <c r="H45" i="29" s="1"/>
  <c r="AW90" i="4"/>
  <c r="BC90" i="4"/>
  <c r="J44" i="29" s="1"/>
  <c r="F44" i="29" s="1"/>
  <c r="H44" i="29" s="1"/>
  <c r="CL90" i="4"/>
  <c r="DZ90" i="4"/>
  <c r="DJ90" i="4"/>
  <c r="DB90" i="4"/>
  <c r="J53" i="36"/>
  <c r="F53" i="36" s="1"/>
  <c r="H53" i="36" s="1"/>
  <c r="J53" i="39"/>
  <c r="F53" i="39" s="1"/>
  <c r="H53" i="39" s="1"/>
  <c r="J51" i="36"/>
  <c r="F51" i="36" s="1"/>
  <c r="H51" i="36" s="1"/>
  <c r="J51" i="39"/>
  <c r="F51" i="39" s="1"/>
  <c r="H51" i="39" s="1"/>
  <c r="J52" i="36"/>
  <c r="F52" i="36" s="1"/>
  <c r="H52" i="36" s="1"/>
  <c r="J52" i="39"/>
  <c r="F52" i="39" s="1"/>
  <c r="H52" i="39" s="1"/>
  <c r="J54" i="34"/>
  <c r="F54" i="34" s="1"/>
  <c r="H54" i="34" s="1"/>
  <c r="J54" i="38"/>
  <c r="J53" i="34"/>
  <c r="F53" i="34" s="1"/>
  <c r="H53" i="34" s="1"/>
  <c r="J53" i="38"/>
  <c r="F53" i="38" s="1"/>
  <c r="H53" i="38" s="1"/>
  <c r="J55" i="34"/>
  <c r="F55" i="34" s="1"/>
  <c r="H55" i="34" s="1"/>
  <c r="J55" i="38"/>
  <c r="F51" i="37"/>
  <c r="F54" i="37" s="1"/>
  <c r="J54" i="37"/>
  <c r="J83" i="26"/>
  <c r="F56" i="23"/>
  <c r="H56" i="23" s="1"/>
  <c r="J52" i="29"/>
  <c r="F52" i="29" s="1"/>
  <c r="H52" i="29" s="1"/>
  <c r="F55" i="23"/>
  <c r="H55" i="23" s="1"/>
  <c r="J51" i="29"/>
  <c r="F51" i="29" s="1"/>
  <c r="H51" i="29" s="1"/>
  <c r="J53" i="29"/>
  <c r="F53" i="29" s="1"/>
  <c r="H53" i="29" s="1"/>
  <c r="J80" i="21"/>
  <c r="J82" i="21"/>
  <c r="F82" i="21" s="1"/>
  <c r="H82" i="21" s="1"/>
  <c r="J81" i="21"/>
  <c r="F81" i="21" s="1"/>
  <c r="H81" i="21" s="1"/>
  <c r="J57" i="23"/>
  <c r="J54" i="28"/>
  <c r="F51" i="28"/>
  <c r="J81" i="22"/>
  <c r="H78" i="25"/>
  <c r="J80" i="22"/>
  <c r="J82" i="22"/>
  <c r="H79" i="25"/>
  <c r="J84" i="20"/>
  <c r="F84" i="20" s="1"/>
  <c r="H84" i="20" s="1"/>
  <c r="J82" i="20"/>
  <c r="F82" i="20" s="1"/>
  <c r="H82" i="20" s="1"/>
  <c r="J83" i="20"/>
  <c r="F83" i="20" s="1"/>
  <c r="H83" i="20" s="1"/>
  <c r="DX90" i="4"/>
  <c r="J47" i="35" s="1"/>
  <c r="F47" i="35" s="1"/>
  <c r="H47" i="35" s="1"/>
  <c r="DX25" i="4"/>
  <c r="J33" i="35" s="1"/>
  <c r="F33" i="35" s="1"/>
  <c r="H33" i="35" s="1"/>
  <c r="DH25" i="4"/>
  <c r="CX25" i="4"/>
  <c r="J61" i="26" s="1"/>
  <c r="F61" i="26" s="1"/>
  <c r="H61" i="26" s="1"/>
  <c r="CY25" i="4"/>
  <c r="CZ25" i="4"/>
  <c r="J32" i="35" s="1"/>
  <c r="F32" i="35" s="1"/>
  <c r="H32" i="35" s="1"/>
  <c r="CR25" i="4"/>
  <c r="J35" i="23" s="1"/>
  <c r="DA25" i="4"/>
  <c r="DS90" i="4"/>
  <c r="J49" i="24" s="1"/>
  <c r="F49" i="24" s="1"/>
  <c r="H49" i="24" s="1"/>
  <c r="DP90" i="4"/>
  <c r="J50" i="23" s="1"/>
  <c r="DT90" i="4"/>
  <c r="J73" i="25" s="1"/>
  <c r="F73" i="25" s="1"/>
  <c r="DU90" i="4"/>
  <c r="DY90" i="4"/>
  <c r="DE90" i="4"/>
  <c r="DQ90" i="4"/>
  <c r="DV90" i="4"/>
  <c r="J76" i="26" s="1"/>
  <c r="F76" i="26" s="1"/>
  <c r="H76" i="26" s="1"/>
  <c r="EA90" i="4"/>
  <c r="J47" i="28" s="1"/>
  <c r="F47" i="28" s="1"/>
  <c r="DH90" i="4"/>
  <c r="DG90" i="4"/>
  <c r="DR90" i="4"/>
  <c r="DW90" i="4"/>
  <c r="EB90" i="4"/>
  <c r="J47" i="37" s="1"/>
  <c r="F47" i="37" s="1"/>
  <c r="DS61" i="4"/>
  <c r="J42" i="24" s="1"/>
  <c r="F42" i="24" s="1"/>
  <c r="H42" i="24" s="1"/>
  <c r="DX61" i="4"/>
  <c r="J40" i="35" s="1"/>
  <c r="F40" i="35" s="1"/>
  <c r="H40" i="35" s="1"/>
  <c r="EA61" i="4"/>
  <c r="J40" i="28" s="1"/>
  <c r="F40" i="28" s="1"/>
  <c r="DQ61" i="4"/>
  <c r="CU61" i="4"/>
  <c r="J41" i="24" s="1"/>
  <c r="F41" i="24" s="1"/>
  <c r="H41" i="24" s="1"/>
  <c r="DY25" i="4"/>
  <c r="DP61" i="4"/>
  <c r="J43" i="23" s="1"/>
  <c r="DH61" i="4"/>
  <c r="DT61" i="4"/>
  <c r="J66" i="25" s="1"/>
  <c r="F66" i="25" s="1"/>
  <c r="DV61" i="4"/>
  <c r="J69" i="26" s="1"/>
  <c r="F69" i="26" s="1"/>
  <c r="H69" i="26" s="1"/>
  <c r="DE25" i="4"/>
  <c r="DG61" i="4"/>
  <c r="J109" i="49" s="1"/>
  <c r="F109" i="49" s="1"/>
  <c r="DW61" i="4"/>
  <c r="DU61" i="4"/>
  <c r="DC25" i="4"/>
  <c r="J32" i="28" s="1"/>
  <c r="F32" i="28" s="1"/>
  <c r="DR61" i="4"/>
  <c r="EB61" i="4"/>
  <c r="J40" i="37" s="1"/>
  <c r="F40" i="37" s="1"/>
  <c r="DY61" i="4"/>
  <c r="DA61" i="4"/>
  <c r="DD61" i="4"/>
  <c r="J39" i="37" s="1"/>
  <c r="F39" i="37" s="1"/>
  <c r="CS61" i="4"/>
  <c r="CZ61" i="4"/>
  <c r="J39" i="35" s="1"/>
  <c r="F39" i="35" s="1"/>
  <c r="H39" i="35" s="1"/>
  <c r="CG90" i="4"/>
  <c r="CJ90" i="4"/>
  <c r="CV90" i="4"/>
  <c r="J72" i="25" s="1"/>
  <c r="F72" i="25" s="1"/>
  <c r="CX90" i="4"/>
  <c r="J75" i="26" s="1"/>
  <c r="F75" i="26" s="1"/>
  <c r="H75" i="26" s="1"/>
  <c r="CG25" i="4"/>
  <c r="CV25" i="4"/>
  <c r="J58" i="25" s="1"/>
  <c r="F58" i="25" s="1"/>
  <c r="DD25" i="4"/>
  <c r="J32" i="37" s="1"/>
  <c r="F32" i="37" s="1"/>
  <c r="DG25" i="4"/>
  <c r="J102" i="49" s="1"/>
  <c r="F102" i="49" s="1"/>
  <c r="DS25" i="4"/>
  <c r="J35" i="24" s="1"/>
  <c r="F35" i="24" s="1"/>
  <c r="H35" i="24" s="1"/>
  <c r="CG61" i="4"/>
  <c r="CI61" i="4"/>
  <c r="J108" i="49" s="1"/>
  <c r="F108" i="49" s="1"/>
  <c r="CW61" i="4"/>
  <c r="CJ61" i="4"/>
  <c r="DC61" i="4"/>
  <c r="J39" i="28" s="1"/>
  <c r="F39" i="28" s="1"/>
  <c r="CX61" i="4"/>
  <c r="J68" i="26" s="1"/>
  <c r="F68" i="26" s="1"/>
  <c r="H68" i="26" s="1"/>
  <c r="CS90" i="4"/>
  <c r="CU90" i="4"/>
  <c r="J48" i="24" s="1"/>
  <c r="F48" i="24" s="1"/>
  <c r="H48" i="24" s="1"/>
  <c r="DC90" i="4"/>
  <c r="J46" i="28" s="1"/>
  <c r="F46" i="28" s="1"/>
  <c r="CY90" i="4"/>
  <c r="CI25" i="4"/>
  <c r="J101" i="49" s="1"/>
  <c r="F101" i="49" s="1"/>
  <c r="CS25" i="4"/>
  <c r="CJ25" i="4"/>
  <c r="DV25" i="4"/>
  <c r="J62" i="26" s="1"/>
  <c r="F62" i="26" s="1"/>
  <c r="H62" i="26" s="1"/>
  <c r="DR25" i="4"/>
  <c r="DP25" i="4"/>
  <c r="J36" i="23" s="1"/>
  <c r="DQ25" i="4"/>
  <c r="DW25" i="4"/>
  <c r="CV61" i="4"/>
  <c r="J65" i="25" s="1"/>
  <c r="F65" i="25" s="1"/>
  <c r="CR61" i="4"/>
  <c r="J42" i="23" s="1"/>
  <c r="CI90" i="4"/>
  <c r="DA90" i="4"/>
  <c r="DD90" i="4"/>
  <c r="J46" i="37" s="1"/>
  <c r="F46" i="37" s="1"/>
  <c r="CZ90" i="4"/>
  <c r="J46" i="35" s="1"/>
  <c r="F46" i="35" s="1"/>
  <c r="H46" i="35" s="1"/>
  <c r="CC25" i="4"/>
  <c r="CF25" i="4"/>
  <c r="J31" i="37" s="1"/>
  <c r="F31" i="37" s="1"/>
  <c r="CT25" i="4"/>
  <c r="CW25" i="4"/>
  <c r="CU25" i="4"/>
  <c r="J34" i="24" s="1"/>
  <c r="F34" i="24" s="1"/>
  <c r="H34" i="24" s="1"/>
  <c r="DU25" i="4"/>
  <c r="EA25" i="4"/>
  <c r="J33" i="28" s="1"/>
  <c r="F33" i="28" s="1"/>
  <c r="DT25" i="4"/>
  <c r="J59" i="25" s="1"/>
  <c r="F59" i="25" s="1"/>
  <c r="EB25" i="4"/>
  <c r="J33" i="37" s="1"/>
  <c r="F33" i="37" s="1"/>
  <c r="CY61" i="4"/>
  <c r="CT61" i="4"/>
  <c r="CT90" i="4"/>
  <c r="CR90" i="4"/>
  <c r="J49" i="23" s="1"/>
  <c r="CW90" i="4"/>
  <c r="AX25" i="4"/>
  <c r="AZ25" i="4"/>
  <c r="J56" i="25" s="1"/>
  <c r="F56" i="25" s="1"/>
  <c r="BY25" i="4"/>
  <c r="CB25" i="4"/>
  <c r="J31" i="35" s="1"/>
  <c r="F31" i="35" s="1"/>
  <c r="H31" i="35" s="1"/>
  <c r="CA25" i="4"/>
  <c r="BZ25" i="4"/>
  <c r="J60" i="26" s="1"/>
  <c r="F60" i="26" s="1"/>
  <c r="H60" i="26" s="1"/>
  <c r="CF61" i="4"/>
  <c r="J38" i="37" s="1"/>
  <c r="F38" i="37" s="1"/>
  <c r="CB61" i="4"/>
  <c r="J38" i="35" s="1"/>
  <c r="F38" i="35" s="1"/>
  <c r="H38" i="35" s="1"/>
  <c r="BK61" i="4"/>
  <c r="J107" i="49" s="1"/>
  <c r="F107" i="49" s="1"/>
  <c r="CE25" i="4"/>
  <c r="J31" i="28" s="1"/>
  <c r="F31" i="28" s="1"/>
  <c r="BL61" i="4"/>
  <c r="BU61" i="4"/>
  <c r="BV61" i="4"/>
  <c r="BT25" i="4"/>
  <c r="J34" i="23" s="1"/>
  <c r="BK25" i="4"/>
  <c r="J100" i="49" s="1"/>
  <c r="F100" i="49" s="1"/>
  <c r="BW61" i="4"/>
  <c r="J40" i="24" s="1"/>
  <c r="F40" i="24" s="1"/>
  <c r="H40" i="24" s="1"/>
  <c r="BT61" i="4"/>
  <c r="J41" i="23" s="1"/>
  <c r="BZ61" i="4"/>
  <c r="J67" i="26" s="1"/>
  <c r="F67" i="26" s="1"/>
  <c r="H67" i="26" s="1"/>
  <c r="BL25" i="4"/>
  <c r="BY61" i="4"/>
  <c r="AV25" i="4"/>
  <c r="J33" i="23" s="1"/>
  <c r="F33" i="23" s="1"/>
  <c r="H33" i="23" s="1"/>
  <c r="BA25" i="4"/>
  <c r="BC25" i="4"/>
  <c r="BU25" i="4"/>
  <c r="BX25" i="4"/>
  <c r="J57" i="25" s="1"/>
  <c r="F57" i="25" s="1"/>
  <c r="BW25" i="4"/>
  <c r="J33" i="24" s="1"/>
  <c r="F33" i="24" s="1"/>
  <c r="H33" i="24" s="1"/>
  <c r="BV25" i="4"/>
  <c r="CA61" i="4"/>
  <c r="BX61" i="4"/>
  <c r="J64" i="25" s="1"/>
  <c r="F64" i="25" s="1"/>
  <c r="CC61" i="4"/>
  <c r="CE61" i="4"/>
  <c r="J38" i="28" s="1"/>
  <c r="F38" i="28" s="1"/>
  <c r="AN61" i="4"/>
  <c r="AK61" i="4"/>
  <c r="BG61" i="4"/>
  <c r="J37" i="28" s="1"/>
  <c r="F37" i="28" s="1"/>
  <c r="AY61" i="4"/>
  <c r="J39" i="24" s="1"/>
  <c r="F39" i="24" s="1"/>
  <c r="H39" i="24" s="1"/>
  <c r="AM61" i="4"/>
  <c r="J106" i="49" s="1"/>
  <c r="BE25" i="4"/>
  <c r="BH25" i="4"/>
  <c r="J30" i="37" s="1"/>
  <c r="BA61" i="4"/>
  <c r="BC61" i="4"/>
  <c r="AM25" i="4"/>
  <c r="J99" i="49" s="1"/>
  <c r="AN25" i="4"/>
  <c r="AV61" i="4"/>
  <c r="J40" i="23" s="1"/>
  <c r="F40" i="23" s="1"/>
  <c r="H40" i="23" s="1"/>
  <c r="AW61" i="4"/>
  <c r="BB25" i="4"/>
  <c r="J59" i="26" s="1"/>
  <c r="F59" i="26" s="1"/>
  <c r="H59" i="26" s="1"/>
  <c r="BE61" i="4"/>
  <c r="BH61" i="4"/>
  <c r="J37" i="37" s="1"/>
  <c r="AW25" i="4"/>
  <c r="AY25" i="4"/>
  <c r="J32" i="24" s="1"/>
  <c r="F32" i="24" s="1"/>
  <c r="H32" i="24" s="1"/>
  <c r="AX61" i="4"/>
  <c r="AZ61" i="4"/>
  <c r="J63" i="25" s="1"/>
  <c r="F63" i="25" s="1"/>
  <c r="BD25" i="4"/>
  <c r="J30" i="35" s="1"/>
  <c r="F30" i="35" s="1"/>
  <c r="H30" i="35" s="1"/>
  <c r="BG25" i="4"/>
  <c r="J30" i="28" s="1"/>
  <c r="F30" i="28" s="1"/>
  <c r="BB61" i="4"/>
  <c r="J66" i="26" s="1"/>
  <c r="F66" i="26" s="1"/>
  <c r="H66" i="26" s="1"/>
  <c r="BD61" i="4"/>
  <c r="J37" i="35" s="1"/>
  <c r="F37" i="35" s="1"/>
  <c r="H37" i="35" s="1"/>
  <c r="AK25" i="4"/>
  <c r="BI25" i="4"/>
  <c r="BI61" i="4"/>
  <c r="DE61" i="4"/>
  <c r="H101" i="49" l="1"/>
  <c r="J36" i="49"/>
  <c r="H108" i="49"/>
  <c r="J43" i="49"/>
  <c r="J116" i="49"/>
  <c r="F116" i="49" s="1"/>
  <c r="J50" i="33"/>
  <c r="F50" i="33" s="1"/>
  <c r="H100" i="49"/>
  <c r="J35" i="49"/>
  <c r="J115" i="49"/>
  <c r="F115" i="49" s="1"/>
  <c r="J49" i="33"/>
  <c r="F49" i="33" s="1"/>
  <c r="H109" i="49"/>
  <c r="J44" i="49"/>
  <c r="H107" i="49"/>
  <c r="J42" i="49"/>
  <c r="H102" i="49"/>
  <c r="J37" i="49"/>
  <c r="J114" i="49"/>
  <c r="F114" i="49" s="1"/>
  <c r="J48" i="33"/>
  <c r="F48" i="33" s="1"/>
  <c r="J113" i="49"/>
  <c r="F113" i="49" s="1"/>
  <c r="J48" i="49" s="1"/>
  <c r="J47" i="33"/>
  <c r="F47" i="33" s="1"/>
  <c r="F99" i="49"/>
  <c r="J34" i="49" s="1"/>
  <c r="J103" i="49"/>
  <c r="H56" i="33"/>
  <c r="F57" i="49"/>
  <c r="H55" i="33"/>
  <c r="F56" i="49"/>
  <c r="H54" i="33"/>
  <c r="F55" i="49"/>
  <c r="F106" i="49"/>
  <c r="J41" i="49" s="1"/>
  <c r="J110" i="49"/>
  <c r="F123" i="49"/>
  <c r="H120" i="49"/>
  <c r="H123" i="49" s="1"/>
  <c r="J56" i="32"/>
  <c r="J33" i="32"/>
  <c r="F33" i="32" s="1"/>
  <c r="H33" i="32" s="1"/>
  <c r="J33" i="48"/>
  <c r="F33" i="48" s="1"/>
  <c r="H33" i="48" s="1"/>
  <c r="J40" i="32"/>
  <c r="F40" i="32" s="1"/>
  <c r="H40" i="32" s="1"/>
  <c r="J40" i="48"/>
  <c r="F40" i="48" s="1"/>
  <c r="H40" i="48" s="1"/>
  <c r="J48" i="32"/>
  <c r="F48" i="32" s="1"/>
  <c r="H48" i="32" s="1"/>
  <c r="J48" i="48"/>
  <c r="F48" i="48" s="1"/>
  <c r="H48" i="48" s="1"/>
  <c r="J42" i="32"/>
  <c r="F42" i="32" s="1"/>
  <c r="H42" i="32" s="1"/>
  <c r="J42" i="48"/>
  <c r="F42" i="48" s="1"/>
  <c r="H42" i="48" s="1"/>
  <c r="J47" i="32"/>
  <c r="F47" i="32" s="1"/>
  <c r="H47" i="32" s="1"/>
  <c r="J47" i="48"/>
  <c r="F47" i="48" s="1"/>
  <c r="H47" i="48" s="1"/>
  <c r="J32" i="32"/>
  <c r="F32" i="32" s="1"/>
  <c r="H32" i="32" s="1"/>
  <c r="J32" i="48"/>
  <c r="F32" i="48" s="1"/>
  <c r="H32" i="48" s="1"/>
  <c r="J39" i="32"/>
  <c r="F39" i="32" s="1"/>
  <c r="H39" i="32" s="1"/>
  <c r="J39" i="48"/>
  <c r="F39" i="48" s="1"/>
  <c r="H39" i="48" s="1"/>
  <c r="J34" i="32"/>
  <c r="F34" i="32" s="1"/>
  <c r="H34" i="32" s="1"/>
  <c r="J34" i="48"/>
  <c r="F34" i="48" s="1"/>
  <c r="H34" i="48" s="1"/>
  <c r="J49" i="32"/>
  <c r="F49" i="32" s="1"/>
  <c r="H49" i="32" s="1"/>
  <c r="J49" i="48"/>
  <c r="F49" i="48" s="1"/>
  <c r="H49" i="48" s="1"/>
  <c r="J56" i="48"/>
  <c r="J35" i="32"/>
  <c r="F35" i="32" s="1"/>
  <c r="H35" i="32" s="1"/>
  <c r="J35" i="48"/>
  <c r="F35" i="48" s="1"/>
  <c r="H35" i="48" s="1"/>
  <c r="J41" i="32"/>
  <c r="F41" i="32" s="1"/>
  <c r="H41" i="32" s="1"/>
  <c r="J41" i="48"/>
  <c r="F41" i="48" s="1"/>
  <c r="H41" i="48" s="1"/>
  <c r="J46" i="32"/>
  <c r="F46" i="32" s="1"/>
  <c r="H46" i="32" s="1"/>
  <c r="J46" i="48"/>
  <c r="F46" i="48" s="1"/>
  <c r="H46" i="48" s="1"/>
  <c r="F48" i="46"/>
  <c r="H48" i="46" s="1"/>
  <c r="F46" i="46"/>
  <c r="H46" i="46" s="1"/>
  <c r="F47" i="46"/>
  <c r="H47" i="46" s="1"/>
  <c r="F47" i="45"/>
  <c r="H47" i="45" s="1"/>
  <c r="J43" i="46"/>
  <c r="J46" i="34"/>
  <c r="F46" i="34" s="1"/>
  <c r="H46" i="34" s="1"/>
  <c r="F56" i="46"/>
  <c r="AC38" i="46" s="1"/>
  <c r="H56" i="46"/>
  <c r="J36" i="46"/>
  <c r="H56" i="45"/>
  <c r="F56" i="45"/>
  <c r="AC38" i="45" s="1"/>
  <c r="H56" i="44"/>
  <c r="F56" i="44"/>
  <c r="AC38" i="44" s="1"/>
  <c r="H56" i="42"/>
  <c r="F56" i="42"/>
  <c r="AC38" i="42" s="1"/>
  <c r="H56" i="41"/>
  <c r="F56" i="41"/>
  <c r="AC38" i="41" s="1"/>
  <c r="H56" i="43"/>
  <c r="F56" i="43"/>
  <c r="AC38" i="43" s="1"/>
  <c r="J57" i="33"/>
  <c r="J46" i="38"/>
  <c r="F46" i="38" s="1"/>
  <c r="H46" i="38" s="1"/>
  <c r="F46" i="45"/>
  <c r="H46" i="45" s="1"/>
  <c r="J75" i="20"/>
  <c r="F75" i="20" s="1"/>
  <c r="H75" i="20" s="1"/>
  <c r="J47" i="34"/>
  <c r="F47" i="34" s="1"/>
  <c r="H47" i="34" s="1"/>
  <c r="J47" i="38"/>
  <c r="F47" i="38" s="1"/>
  <c r="H47" i="38" s="1"/>
  <c r="J40" i="33"/>
  <c r="F40" i="33" s="1"/>
  <c r="J42" i="33"/>
  <c r="F42" i="33" s="1"/>
  <c r="J56" i="43"/>
  <c r="J34" i="33"/>
  <c r="F34" i="33" s="1"/>
  <c r="J43" i="33"/>
  <c r="F43" i="33" s="1"/>
  <c r="J56" i="42"/>
  <c r="J56" i="41"/>
  <c r="J33" i="33"/>
  <c r="F33" i="33" s="1"/>
  <c r="J41" i="33"/>
  <c r="F41" i="33" s="1"/>
  <c r="J35" i="33"/>
  <c r="F35" i="33" s="1"/>
  <c r="J36" i="33"/>
  <c r="F36" i="33" s="1"/>
  <c r="F39" i="38"/>
  <c r="H39" i="38" s="1"/>
  <c r="F39" i="45"/>
  <c r="H39" i="45" s="1"/>
  <c r="J56" i="45"/>
  <c r="F42" i="45"/>
  <c r="H42" i="45" s="1"/>
  <c r="F33" i="45"/>
  <c r="F32" i="45"/>
  <c r="F41" i="38"/>
  <c r="H41" i="38" s="1"/>
  <c r="F41" i="45"/>
  <c r="H41" i="45" s="1"/>
  <c r="F49" i="45"/>
  <c r="H49" i="45" s="1"/>
  <c r="F40" i="45"/>
  <c r="H40" i="45" s="1"/>
  <c r="F34" i="45"/>
  <c r="F48" i="45"/>
  <c r="H48" i="45" s="1"/>
  <c r="F35" i="45"/>
  <c r="J56" i="44"/>
  <c r="J76" i="20"/>
  <c r="F76" i="20" s="1"/>
  <c r="H76" i="20" s="1"/>
  <c r="J45" i="39"/>
  <c r="F45" i="39" s="1"/>
  <c r="H45" i="39" s="1"/>
  <c r="J44" i="36"/>
  <c r="F44" i="36" s="1"/>
  <c r="H44" i="36" s="1"/>
  <c r="H56" i="34"/>
  <c r="J30" i="36"/>
  <c r="F30" i="36" s="1"/>
  <c r="H30" i="36" s="1"/>
  <c r="J30" i="39"/>
  <c r="F30" i="39" s="1"/>
  <c r="H30" i="39" s="1"/>
  <c r="J33" i="36"/>
  <c r="F33" i="36" s="1"/>
  <c r="H33" i="36" s="1"/>
  <c r="J33" i="39"/>
  <c r="F33" i="39" s="1"/>
  <c r="H33" i="39" s="1"/>
  <c r="J32" i="36"/>
  <c r="F32" i="36" s="1"/>
  <c r="H32" i="36" s="1"/>
  <c r="J32" i="39"/>
  <c r="F32" i="39" s="1"/>
  <c r="H32" i="39" s="1"/>
  <c r="J46" i="36"/>
  <c r="F46" i="36" s="1"/>
  <c r="H46" i="36" s="1"/>
  <c r="J46" i="39"/>
  <c r="F46" i="39" s="1"/>
  <c r="H46" i="39" s="1"/>
  <c r="F55" i="38"/>
  <c r="H55" i="38" s="1"/>
  <c r="F42" i="38"/>
  <c r="H42" i="38" s="1"/>
  <c r="J31" i="36"/>
  <c r="F31" i="36" s="1"/>
  <c r="H31" i="36" s="1"/>
  <c r="J31" i="39"/>
  <c r="F31" i="39" s="1"/>
  <c r="H31" i="39" s="1"/>
  <c r="F54" i="38"/>
  <c r="H54" i="38" s="1"/>
  <c r="J54" i="39"/>
  <c r="J40" i="36"/>
  <c r="F40" i="36" s="1"/>
  <c r="H40" i="36" s="1"/>
  <c r="J40" i="39"/>
  <c r="F40" i="39" s="1"/>
  <c r="H40" i="39" s="1"/>
  <c r="F40" i="38"/>
  <c r="H40" i="38" s="1"/>
  <c r="J37" i="36"/>
  <c r="F37" i="36" s="1"/>
  <c r="H37" i="36" s="1"/>
  <c r="J37" i="39"/>
  <c r="F37" i="39" s="1"/>
  <c r="H37" i="39" s="1"/>
  <c r="J38" i="36"/>
  <c r="F38" i="36" s="1"/>
  <c r="H38" i="36" s="1"/>
  <c r="J38" i="39"/>
  <c r="F38" i="39" s="1"/>
  <c r="H38" i="39" s="1"/>
  <c r="J39" i="36"/>
  <c r="F39" i="36" s="1"/>
  <c r="H39" i="36" s="1"/>
  <c r="J39" i="39"/>
  <c r="F39" i="39" s="1"/>
  <c r="H39" i="39" s="1"/>
  <c r="J47" i="36"/>
  <c r="F47" i="36" s="1"/>
  <c r="H47" i="36" s="1"/>
  <c r="J47" i="39"/>
  <c r="F47" i="39" s="1"/>
  <c r="H47" i="39" s="1"/>
  <c r="J56" i="38"/>
  <c r="J32" i="34"/>
  <c r="F32" i="34" s="1"/>
  <c r="H32" i="34" s="1"/>
  <c r="J32" i="38"/>
  <c r="F32" i="38" s="1"/>
  <c r="H32" i="38" s="1"/>
  <c r="J49" i="34"/>
  <c r="F49" i="34" s="1"/>
  <c r="H49" i="34" s="1"/>
  <c r="J49" i="38"/>
  <c r="J33" i="34"/>
  <c r="F33" i="34" s="1"/>
  <c r="H33" i="34" s="1"/>
  <c r="J33" i="38"/>
  <c r="J34" i="34"/>
  <c r="F34" i="34" s="1"/>
  <c r="H34" i="34" s="1"/>
  <c r="J34" i="38"/>
  <c r="J48" i="34"/>
  <c r="F48" i="34" s="1"/>
  <c r="H48" i="34" s="1"/>
  <c r="J48" i="38"/>
  <c r="J35" i="34"/>
  <c r="F35" i="34" s="1"/>
  <c r="H35" i="34" s="1"/>
  <c r="J35" i="38"/>
  <c r="J48" i="37"/>
  <c r="F30" i="37"/>
  <c r="F34" i="37" s="1"/>
  <c r="J34" i="37"/>
  <c r="F48" i="37"/>
  <c r="F37" i="37"/>
  <c r="F41" i="37" s="1"/>
  <c r="J41" i="37"/>
  <c r="J70" i="26"/>
  <c r="H77" i="26"/>
  <c r="F77" i="26"/>
  <c r="Z42" i="26" s="1"/>
  <c r="J77" i="26"/>
  <c r="J63" i="26"/>
  <c r="H83" i="26"/>
  <c r="F83" i="26"/>
  <c r="Z43" i="26" s="1"/>
  <c r="H54" i="29"/>
  <c r="J39" i="29"/>
  <c r="F39" i="29" s="1"/>
  <c r="H39" i="29" s="1"/>
  <c r="F35" i="23"/>
  <c r="H35" i="23" s="1"/>
  <c r="F49" i="23"/>
  <c r="H49" i="23" s="1"/>
  <c r="F50" i="23"/>
  <c r="H50" i="23" s="1"/>
  <c r="J54" i="35"/>
  <c r="J38" i="29"/>
  <c r="F38" i="29" s="1"/>
  <c r="H38" i="29" s="1"/>
  <c r="F34" i="23"/>
  <c r="H34" i="23" s="1"/>
  <c r="F42" i="23"/>
  <c r="H42" i="23" s="1"/>
  <c r="F43" i="23"/>
  <c r="H43" i="23" s="1"/>
  <c r="J54" i="36"/>
  <c r="J37" i="29"/>
  <c r="F37" i="29" s="1"/>
  <c r="H37" i="29" s="1"/>
  <c r="J33" i="29"/>
  <c r="F33" i="29" s="1"/>
  <c r="H33" i="29" s="1"/>
  <c r="J46" i="29"/>
  <c r="F46" i="29" s="1"/>
  <c r="H46" i="29" s="1"/>
  <c r="J40" i="29"/>
  <c r="F40" i="29" s="1"/>
  <c r="H40" i="29" s="1"/>
  <c r="J30" i="29"/>
  <c r="F30" i="29" s="1"/>
  <c r="H30" i="29" s="1"/>
  <c r="F36" i="23"/>
  <c r="H36" i="23" s="1"/>
  <c r="J47" i="29"/>
  <c r="F47" i="29" s="1"/>
  <c r="H47" i="29" s="1"/>
  <c r="J32" i="29"/>
  <c r="F32" i="29" s="1"/>
  <c r="H32" i="29" s="1"/>
  <c r="F41" i="23"/>
  <c r="H41" i="23" s="1"/>
  <c r="J31" i="29"/>
  <c r="F31" i="29" s="1"/>
  <c r="H31" i="29" s="1"/>
  <c r="F54" i="29"/>
  <c r="AC34" i="29" s="1"/>
  <c r="J54" i="29"/>
  <c r="J83" i="21"/>
  <c r="F80" i="21"/>
  <c r="F83" i="21" s="1"/>
  <c r="Z41" i="21" s="1"/>
  <c r="J69" i="21"/>
  <c r="F69" i="21" s="1"/>
  <c r="H69" i="21" s="1"/>
  <c r="J66" i="21"/>
  <c r="F66" i="21" s="1"/>
  <c r="J75" i="21"/>
  <c r="J60" i="21"/>
  <c r="F60" i="21" s="1"/>
  <c r="H60" i="21" s="1"/>
  <c r="J67" i="21"/>
  <c r="F67" i="21" s="1"/>
  <c r="H67" i="21" s="1"/>
  <c r="J59" i="21"/>
  <c r="F59" i="21" s="1"/>
  <c r="H59" i="21" s="1"/>
  <c r="J68" i="21"/>
  <c r="F68" i="21" s="1"/>
  <c r="H68" i="21" s="1"/>
  <c r="J61" i="21"/>
  <c r="F61" i="21" s="1"/>
  <c r="H61" i="21" s="1"/>
  <c r="J62" i="21"/>
  <c r="F62" i="21" s="1"/>
  <c r="H62" i="21" s="1"/>
  <c r="J76" i="21"/>
  <c r="F76" i="21" s="1"/>
  <c r="H76" i="21" s="1"/>
  <c r="J56" i="24"/>
  <c r="J37" i="23"/>
  <c r="J44" i="23"/>
  <c r="J51" i="23"/>
  <c r="H57" i="23"/>
  <c r="F57" i="23"/>
  <c r="AC39" i="23" s="1"/>
  <c r="F73" i="22"/>
  <c r="H73" i="22" s="1"/>
  <c r="F81" i="22"/>
  <c r="H81" i="22" s="1"/>
  <c r="F82" i="22"/>
  <c r="H82" i="22" s="1"/>
  <c r="F80" i="22"/>
  <c r="F74" i="22"/>
  <c r="H74" i="22" s="1"/>
  <c r="F80" i="25"/>
  <c r="H77" i="25"/>
  <c r="J67" i="22"/>
  <c r="H64" i="25"/>
  <c r="F57" i="33"/>
  <c r="J75" i="22"/>
  <c r="H72" i="25"/>
  <c r="J40" i="34"/>
  <c r="J59" i="22"/>
  <c r="H56" i="25"/>
  <c r="F56" i="32"/>
  <c r="AC38" i="32" s="1"/>
  <c r="H56" i="32"/>
  <c r="J80" i="25"/>
  <c r="J62" i="22"/>
  <c r="H59" i="25"/>
  <c r="J42" i="34"/>
  <c r="J66" i="22"/>
  <c r="H63" i="25"/>
  <c r="J60" i="22"/>
  <c r="H57" i="25"/>
  <c r="J41" i="34"/>
  <c r="F54" i="28"/>
  <c r="AC34" i="28" s="1"/>
  <c r="H54" i="28"/>
  <c r="J48" i="28"/>
  <c r="J61" i="22"/>
  <c r="H58" i="25"/>
  <c r="J34" i="28"/>
  <c r="J39" i="34"/>
  <c r="J68" i="22"/>
  <c r="H65" i="25"/>
  <c r="J69" i="22"/>
  <c r="H66" i="25"/>
  <c r="J76" i="22"/>
  <c r="H73" i="25"/>
  <c r="J61" i="20"/>
  <c r="F61" i="20" s="1"/>
  <c r="H61" i="20" s="1"/>
  <c r="J69" i="20"/>
  <c r="F69" i="20" s="1"/>
  <c r="H69" i="20" s="1"/>
  <c r="J63" i="20"/>
  <c r="F63" i="20" s="1"/>
  <c r="H63" i="20" s="1"/>
  <c r="F56" i="34"/>
  <c r="J68" i="20"/>
  <c r="F68" i="20" s="1"/>
  <c r="H68" i="20" s="1"/>
  <c r="J77" i="20"/>
  <c r="F77" i="20" s="1"/>
  <c r="H77" i="20" s="1"/>
  <c r="J78" i="20"/>
  <c r="F78" i="20" s="1"/>
  <c r="H78" i="20" s="1"/>
  <c r="J56" i="34"/>
  <c r="J62" i="20"/>
  <c r="F62" i="20" s="1"/>
  <c r="H62" i="20" s="1"/>
  <c r="J70" i="20"/>
  <c r="F70" i="20" s="1"/>
  <c r="H70" i="20" s="1"/>
  <c r="J64" i="20"/>
  <c r="F64" i="20" s="1"/>
  <c r="H64" i="20" s="1"/>
  <c r="J71" i="20"/>
  <c r="F71" i="20" s="1"/>
  <c r="H71" i="20" s="1"/>
  <c r="F85" i="20"/>
  <c r="AC38" i="20" s="1"/>
  <c r="J83" i="22"/>
  <c r="J85" i="20"/>
  <c r="AC105" i="49" l="1"/>
  <c r="J58" i="49"/>
  <c r="H116" i="49"/>
  <c r="J51" i="49"/>
  <c r="J117" i="49"/>
  <c r="J124" i="49" s="1"/>
  <c r="H114" i="49"/>
  <c r="J49" i="49"/>
  <c r="H115" i="49"/>
  <c r="J50" i="49"/>
  <c r="H57" i="33"/>
  <c r="J50" i="32"/>
  <c r="H47" i="33"/>
  <c r="F48" i="49"/>
  <c r="H49" i="33"/>
  <c r="F50" i="49"/>
  <c r="H36" i="33"/>
  <c r="F37" i="49"/>
  <c r="H34" i="33"/>
  <c r="F35" i="49"/>
  <c r="H113" i="49"/>
  <c r="F117" i="49"/>
  <c r="H35" i="33"/>
  <c r="F36" i="49"/>
  <c r="H41" i="33"/>
  <c r="F42" i="49"/>
  <c r="H33" i="33"/>
  <c r="F34" i="49"/>
  <c r="H50" i="33"/>
  <c r="F51" i="49"/>
  <c r="H106" i="49"/>
  <c r="H110" i="49" s="1"/>
  <c r="F110" i="49"/>
  <c r="H48" i="33"/>
  <c r="F49" i="49"/>
  <c r="AC39" i="33"/>
  <c r="F58" i="49"/>
  <c r="H40" i="33"/>
  <c r="F41" i="49"/>
  <c r="H42" i="33"/>
  <c r="F43" i="49"/>
  <c r="H43" i="33"/>
  <c r="F44" i="49"/>
  <c r="F103" i="49"/>
  <c r="J38" i="49" s="1"/>
  <c r="H99" i="49"/>
  <c r="H103" i="49" s="1"/>
  <c r="J43" i="32"/>
  <c r="J36" i="32"/>
  <c r="J43" i="48"/>
  <c r="F56" i="48"/>
  <c r="AC38" i="48" s="1"/>
  <c r="H56" i="48"/>
  <c r="J36" i="48"/>
  <c r="J50" i="48"/>
  <c r="J50" i="46"/>
  <c r="J57" i="46" s="1"/>
  <c r="AC36" i="46"/>
  <c r="F36" i="46"/>
  <c r="H36" i="46"/>
  <c r="H50" i="45"/>
  <c r="H43" i="45"/>
  <c r="H36" i="45"/>
  <c r="F43" i="45"/>
  <c r="AC36" i="45" s="1"/>
  <c r="F50" i="45"/>
  <c r="AC37" i="45" s="1"/>
  <c r="H36" i="44"/>
  <c r="F36" i="44"/>
  <c r="H43" i="44"/>
  <c r="F43" i="44"/>
  <c r="AC36" i="44" s="1"/>
  <c r="H50" i="44"/>
  <c r="F50" i="44"/>
  <c r="AC37" i="44" s="1"/>
  <c r="H50" i="42"/>
  <c r="F50" i="42"/>
  <c r="AC37" i="42" s="1"/>
  <c r="H50" i="41"/>
  <c r="F50" i="41"/>
  <c r="AC37" i="41" s="1"/>
  <c r="H36" i="41"/>
  <c r="F36" i="41"/>
  <c r="H36" i="42"/>
  <c r="F36" i="42"/>
  <c r="H43" i="42"/>
  <c r="F43" i="42"/>
  <c r="AC36" i="42" s="1"/>
  <c r="H43" i="41"/>
  <c r="F43" i="41"/>
  <c r="AC36" i="41" s="1"/>
  <c r="H50" i="43"/>
  <c r="F50" i="43"/>
  <c r="AC37" i="43" s="1"/>
  <c r="H36" i="43"/>
  <c r="F36" i="43"/>
  <c r="H43" i="43"/>
  <c r="F43" i="43"/>
  <c r="AC36" i="43" s="1"/>
  <c r="J50" i="44"/>
  <c r="J44" i="33"/>
  <c r="J50" i="45"/>
  <c r="J43" i="38"/>
  <c r="J51" i="33"/>
  <c r="J50" i="43"/>
  <c r="J37" i="33"/>
  <c r="J50" i="42"/>
  <c r="J50" i="41"/>
  <c r="J43" i="41"/>
  <c r="J36" i="43"/>
  <c r="J43" i="43"/>
  <c r="J36" i="45"/>
  <c r="F36" i="45" s="1"/>
  <c r="J36" i="42"/>
  <c r="J43" i="42"/>
  <c r="J36" i="44"/>
  <c r="J36" i="41"/>
  <c r="J43" i="45"/>
  <c r="J43" i="44"/>
  <c r="H56" i="38"/>
  <c r="H50" i="34"/>
  <c r="H43" i="38"/>
  <c r="H36" i="34"/>
  <c r="F33" i="38"/>
  <c r="H33" i="38" s="1"/>
  <c r="F48" i="38"/>
  <c r="H48" i="38" s="1"/>
  <c r="F54" i="39"/>
  <c r="AC34" i="39" s="1"/>
  <c r="H54" i="39"/>
  <c r="F35" i="38"/>
  <c r="H35" i="38" s="1"/>
  <c r="F34" i="38"/>
  <c r="H34" i="38" s="1"/>
  <c r="F49" i="38"/>
  <c r="H49" i="38" s="1"/>
  <c r="J41" i="39"/>
  <c r="J48" i="39"/>
  <c r="J34" i="39"/>
  <c r="F48" i="39"/>
  <c r="AC33" i="39" s="1"/>
  <c r="H48" i="39"/>
  <c r="H48" i="29"/>
  <c r="J50" i="38"/>
  <c r="J36" i="38"/>
  <c r="F43" i="38"/>
  <c r="AC36" i="38" s="1"/>
  <c r="J36" i="34"/>
  <c r="F56" i="38"/>
  <c r="J55" i="37"/>
  <c r="F55" i="37"/>
  <c r="F62" i="37" s="1"/>
  <c r="H143" i="30" s="1"/>
  <c r="J143" i="30" s="1"/>
  <c r="J84" i="26"/>
  <c r="F63" i="26"/>
  <c r="H63" i="26"/>
  <c r="AC38" i="34"/>
  <c r="F51" i="23"/>
  <c r="AC38" i="23" s="1"/>
  <c r="F70" i="26"/>
  <c r="Z41" i="26" s="1"/>
  <c r="H70" i="26"/>
  <c r="F48" i="29"/>
  <c r="AC33" i="29" s="1"/>
  <c r="H34" i="29"/>
  <c r="H80" i="21"/>
  <c r="H83" i="21" s="1"/>
  <c r="H41" i="29"/>
  <c r="J48" i="29"/>
  <c r="F54" i="36"/>
  <c r="AC34" i="36" s="1"/>
  <c r="H54" i="36"/>
  <c r="J34" i="29"/>
  <c r="J34" i="35"/>
  <c r="J41" i="35"/>
  <c r="H48" i="35"/>
  <c r="F48" i="35"/>
  <c r="AC33" i="35" s="1"/>
  <c r="J48" i="36"/>
  <c r="F54" i="35"/>
  <c r="AC34" i="35" s="1"/>
  <c r="H54" i="35"/>
  <c r="H51" i="23"/>
  <c r="J41" i="29"/>
  <c r="F41" i="29"/>
  <c r="AC32" i="29" s="1"/>
  <c r="J34" i="36"/>
  <c r="J41" i="36"/>
  <c r="H48" i="36"/>
  <c r="F48" i="36"/>
  <c r="AC33" i="36" s="1"/>
  <c r="J48" i="35"/>
  <c r="J70" i="21"/>
  <c r="J77" i="21"/>
  <c r="H63" i="21"/>
  <c r="J63" i="21"/>
  <c r="F75" i="21"/>
  <c r="H75" i="21" s="1"/>
  <c r="H77" i="21" s="1"/>
  <c r="F56" i="24"/>
  <c r="Z41" i="24" s="1"/>
  <c r="H56" i="24"/>
  <c r="H50" i="24"/>
  <c r="F50" i="24"/>
  <c r="Z40" i="24" s="1"/>
  <c r="J36" i="24"/>
  <c r="J43" i="24"/>
  <c r="F63" i="21"/>
  <c r="Z38" i="21" s="1"/>
  <c r="J50" i="24"/>
  <c r="J58" i="23"/>
  <c r="H66" i="21"/>
  <c r="H70" i="21" s="1"/>
  <c r="F70" i="21"/>
  <c r="Z39" i="21" s="1"/>
  <c r="H44" i="23"/>
  <c r="F44" i="23"/>
  <c r="AC37" i="23" s="1"/>
  <c r="H37" i="23"/>
  <c r="F37" i="23"/>
  <c r="AC36" i="23" s="1"/>
  <c r="F83" i="22"/>
  <c r="Z43" i="22" s="1"/>
  <c r="F60" i="22"/>
  <c r="H60" i="22" s="1"/>
  <c r="F76" i="22"/>
  <c r="H76" i="22" s="1"/>
  <c r="F68" i="22"/>
  <c r="H68" i="22" s="1"/>
  <c r="F62" i="22"/>
  <c r="H62" i="22" s="1"/>
  <c r="H80" i="22"/>
  <c r="H83" i="22" s="1"/>
  <c r="F59" i="22"/>
  <c r="H59" i="22" s="1"/>
  <c r="F61" i="22"/>
  <c r="H61" i="22" s="1"/>
  <c r="F66" i="22"/>
  <c r="H66" i="22" s="1"/>
  <c r="F69" i="22"/>
  <c r="H69" i="22" s="1"/>
  <c r="F75" i="22"/>
  <c r="H75" i="22" s="1"/>
  <c r="F67" i="22"/>
  <c r="H67" i="22" s="1"/>
  <c r="F34" i="29"/>
  <c r="AC31" i="29" s="1"/>
  <c r="F39" i="34"/>
  <c r="H39" i="34" s="1"/>
  <c r="F41" i="34"/>
  <c r="H41" i="34" s="1"/>
  <c r="F42" i="34"/>
  <c r="H42" i="34" s="1"/>
  <c r="F40" i="34"/>
  <c r="H40" i="34" s="1"/>
  <c r="F79" i="20"/>
  <c r="AC37" i="20" s="1"/>
  <c r="J74" i="25"/>
  <c r="F48" i="28"/>
  <c r="AC33" i="28" s="1"/>
  <c r="J41" i="28"/>
  <c r="J55" i="28" s="1"/>
  <c r="H48" i="28"/>
  <c r="H80" i="25"/>
  <c r="Z40" i="25"/>
  <c r="H74" i="25"/>
  <c r="F74" i="25"/>
  <c r="Z39" i="25" s="1"/>
  <c r="F37" i="33"/>
  <c r="J67" i="25"/>
  <c r="H43" i="32"/>
  <c r="F43" i="32"/>
  <c r="AC36" i="32" s="1"/>
  <c r="H36" i="32"/>
  <c r="F36" i="32"/>
  <c r="AC35" i="32" s="1"/>
  <c r="F41" i="28"/>
  <c r="AC32" i="28" s="1"/>
  <c r="H41" i="28"/>
  <c r="F44" i="33"/>
  <c r="F50" i="32"/>
  <c r="AC37" i="32" s="1"/>
  <c r="H50" i="32"/>
  <c r="F34" i="28"/>
  <c r="AC31" i="28" s="1"/>
  <c r="H34" i="28"/>
  <c r="F51" i="33"/>
  <c r="J60" i="25"/>
  <c r="J50" i="34"/>
  <c r="F36" i="34"/>
  <c r="AC35" i="34" s="1"/>
  <c r="J43" i="34"/>
  <c r="F50" i="34"/>
  <c r="AC37" i="34" s="1"/>
  <c r="J77" i="22"/>
  <c r="J70" i="22"/>
  <c r="J63" i="22"/>
  <c r="J79" i="20"/>
  <c r="J72" i="20"/>
  <c r="J65" i="20"/>
  <c r="H85" i="20"/>
  <c r="J57" i="32" l="1"/>
  <c r="H117" i="49"/>
  <c r="H124" i="49" s="1"/>
  <c r="H131" i="49" s="1"/>
  <c r="AC103" i="49"/>
  <c r="J45" i="49"/>
  <c r="AC104" i="49"/>
  <c r="J52" i="49"/>
  <c r="H37" i="33"/>
  <c r="H44" i="33"/>
  <c r="H51" i="33"/>
  <c r="AC36" i="33"/>
  <c r="F38" i="49"/>
  <c r="AC102" i="49"/>
  <c r="F124" i="49"/>
  <c r="J59" i="49" s="1"/>
  <c r="AC37" i="33"/>
  <c r="F45" i="49"/>
  <c r="J131" i="49"/>
  <c r="AC38" i="33"/>
  <c r="F52" i="49"/>
  <c r="F50" i="48"/>
  <c r="AC37" i="48" s="1"/>
  <c r="H50" i="48"/>
  <c r="F36" i="48"/>
  <c r="H36" i="48"/>
  <c r="J57" i="48"/>
  <c r="J70" i="30" s="1"/>
  <c r="H43" i="48"/>
  <c r="F43" i="48"/>
  <c r="AC36" i="48" s="1"/>
  <c r="AC35" i="46"/>
  <c r="J64" i="46"/>
  <c r="J66" i="46"/>
  <c r="H43" i="34"/>
  <c r="H57" i="34" s="1"/>
  <c r="F50" i="46"/>
  <c r="AC37" i="46" s="1"/>
  <c r="H50" i="46"/>
  <c r="H57" i="45"/>
  <c r="H64" i="45" s="1"/>
  <c r="AC35" i="45"/>
  <c r="F57" i="45"/>
  <c r="H57" i="44"/>
  <c r="H66" i="44" s="1"/>
  <c r="H57" i="41"/>
  <c r="AC35" i="44"/>
  <c r="F57" i="44"/>
  <c r="F57" i="43"/>
  <c r="AC35" i="43"/>
  <c r="AC35" i="42"/>
  <c r="F57" i="42"/>
  <c r="H57" i="43"/>
  <c r="H57" i="42"/>
  <c r="AC35" i="41"/>
  <c r="F57" i="41"/>
  <c r="H76" i="30" s="1"/>
  <c r="J58" i="33"/>
  <c r="J65" i="33" s="1"/>
  <c r="J57" i="44"/>
  <c r="J64" i="44" s="1"/>
  <c r="J57" i="43"/>
  <c r="J66" i="43" s="1"/>
  <c r="J57" i="41"/>
  <c r="J57" i="45"/>
  <c r="J64" i="45" s="1"/>
  <c r="J57" i="42"/>
  <c r="H36" i="38"/>
  <c r="J55" i="39"/>
  <c r="J62" i="39" s="1"/>
  <c r="F34" i="39"/>
  <c r="H34" i="39"/>
  <c r="F50" i="38"/>
  <c r="AC37" i="38" s="1"/>
  <c r="H50" i="38"/>
  <c r="J57" i="38"/>
  <c r="H41" i="39"/>
  <c r="F41" i="39"/>
  <c r="AC32" i="39" s="1"/>
  <c r="J100" i="26"/>
  <c r="F64" i="37"/>
  <c r="H170" i="30" s="1"/>
  <c r="J170" i="30" s="1"/>
  <c r="F36" i="38"/>
  <c r="J64" i="32"/>
  <c r="J64" i="37"/>
  <c r="J62" i="37"/>
  <c r="H89" i="30"/>
  <c r="J89" i="30" s="1"/>
  <c r="AC38" i="38"/>
  <c r="J66" i="23"/>
  <c r="J68" i="23"/>
  <c r="J55" i="29"/>
  <c r="H84" i="26"/>
  <c r="F84" i="26"/>
  <c r="F100" i="26" s="1"/>
  <c r="H137" i="30" s="1"/>
  <c r="J137" i="30" s="1"/>
  <c r="Z40" i="26"/>
  <c r="H55" i="29"/>
  <c r="H34" i="35"/>
  <c r="F34" i="35"/>
  <c r="AC31" i="35" s="1"/>
  <c r="J84" i="21"/>
  <c r="F41" i="36"/>
  <c r="AC32" i="36" s="1"/>
  <c r="H41" i="36"/>
  <c r="J55" i="36"/>
  <c r="F41" i="35"/>
  <c r="AC32" i="35" s="1"/>
  <c r="H41" i="35"/>
  <c r="F55" i="29"/>
  <c r="H84" i="30" s="1"/>
  <c r="J84" i="30" s="1"/>
  <c r="H34" i="36"/>
  <c r="F34" i="36"/>
  <c r="AC31" i="36" s="1"/>
  <c r="J55" i="35"/>
  <c r="F77" i="21"/>
  <c r="Z40" i="21" s="1"/>
  <c r="H84" i="21"/>
  <c r="J57" i="24"/>
  <c r="F36" i="24"/>
  <c r="H36" i="24"/>
  <c r="H43" i="24"/>
  <c r="F43" i="24"/>
  <c r="Z39" i="24" s="1"/>
  <c r="F58" i="23"/>
  <c r="F66" i="23" s="1"/>
  <c r="H132" i="30" s="1"/>
  <c r="J132" i="30" s="1"/>
  <c r="H58" i="23"/>
  <c r="F43" i="34"/>
  <c r="AC36" i="34" s="1"/>
  <c r="F55" i="28"/>
  <c r="H60" i="25"/>
  <c r="F60" i="25"/>
  <c r="J81" i="25"/>
  <c r="H57" i="32"/>
  <c r="F58" i="33"/>
  <c r="H55" i="28"/>
  <c r="F57" i="32"/>
  <c r="F64" i="32" s="1"/>
  <c r="H123" i="30" s="1"/>
  <c r="J123" i="30" s="1"/>
  <c r="H67" i="25"/>
  <c r="F67" i="25"/>
  <c r="Z38" i="25" s="1"/>
  <c r="J57" i="34"/>
  <c r="J84" i="22"/>
  <c r="H70" i="22"/>
  <c r="F70" i="22"/>
  <c r="Z41" i="22" s="1"/>
  <c r="F63" i="22"/>
  <c r="Z40" i="22" s="1"/>
  <c r="H63" i="22"/>
  <c r="H77" i="22"/>
  <c r="F77" i="22"/>
  <c r="Z42" i="22" s="1"/>
  <c r="H79" i="20"/>
  <c r="H72" i="20"/>
  <c r="F72" i="20"/>
  <c r="AC36" i="20" s="1"/>
  <c r="J86" i="20"/>
  <c r="H65" i="20"/>
  <c r="F65" i="20"/>
  <c r="AC35" i="20" s="1"/>
  <c r="H58" i="33" l="1"/>
  <c r="H65" i="33" s="1"/>
  <c r="F65" i="33"/>
  <c r="F59" i="49"/>
  <c r="F131" i="49"/>
  <c r="J66" i="49" s="1"/>
  <c r="J64" i="48"/>
  <c r="J124" i="30" s="1"/>
  <c r="H57" i="48"/>
  <c r="F57" i="48"/>
  <c r="H70" i="30" s="1"/>
  <c r="AC35" i="48"/>
  <c r="H57" i="46"/>
  <c r="H66" i="46" s="1"/>
  <c r="F57" i="46"/>
  <c r="H66" i="30" s="1"/>
  <c r="J66" i="30" s="1"/>
  <c r="H66" i="45"/>
  <c r="H64" i="44"/>
  <c r="H72" i="30"/>
  <c r="J72" i="30" s="1"/>
  <c r="F66" i="45"/>
  <c r="H153" i="30" s="1"/>
  <c r="J153" i="30" s="1"/>
  <c r="F64" i="45"/>
  <c r="H126" i="30" s="1"/>
  <c r="J126" i="30" s="1"/>
  <c r="H73" i="30"/>
  <c r="J73" i="30" s="1"/>
  <c r="F66" i="44"/>
  <c r="H154" i="30" s="1"/>
  <c r="J154" i="30" s="1"/>
  <c r="F64" i="44"/>
  <c r="H127" i="30" s="1"/>
  <c r="J127" i="30" s="1"/>
  <c r="H75" i="30"/>
  <c r="J75" i="30" s="1"/>
  <c r="F66" i="42"/>
  <c r="H156" i="30" s="1"/>
  <c r="J156" i="30" s="1"/>
  <c r="F64" i="42"/>
  <c r="H64" i="42"/>
  <c r="H66" i="42"/>
  <c r="H66" i="43"/>
  <c r="H64" i="43"/>
  <c r="H74" i="30"/>
  <c r="J74" i="30" s="1"/>
  <c r="F66" i="43"/>
  <c r="H155" i="30" s="1"/>
  <c r="J155" i="30" s="1"/>
  <c r="F64" i="43"/>
  <c r="H128" i="30" s="1"/>
  <c r="J128" i="30" s="1"/>
  <c r="J64" i="43"/>
  <c r="J66" i="45"/>
  <c r="J66" i="44"/>
  <c r="J64" i="42"/>
  <c r="J66" i="42"/>
  <c r="J64" i="39"/>
  <c r="H57" i="38"/>
  <c r="H55" i="39"/>
  <c r="F55" i="39"/>
  <c r="AC31" i="39"/>
  <c r="J64" i="34"/>
  <c r="AC35" i="38"/>
  <c r="F57" i="38"/>
  <c r="H71" i="30" s="1"/>
  <c r="J71" i="30" s="1"/>
  <c r="H64" i="32"/>
  <c r="J99" i="21"/>
  <c r="J97" i="21"/>
  <c r="H64" i="28"/>
  <c r="H62" i="28"/>
  <c r="J99" i="25"/>
  <c r="J97" i="25"/>
  <c r="H99" i="21"/>
  <c r="H97" i="21"/>
  <c r="H64" i="34"/>
  <c r="J102" i="22"/>
  <c r="J100" i="22"/>
  <c r="H100" i="26"/>
  <c r="J64" i="36"/>
  <c r="J62" i="36"/>
  <c r="J64" i="35"/>
  <c r="J62" i="35"/>
  <c r="H64" i="29"/>
  <c r="H62" i="29"/>
  <c r="F64" i="29"/>
  <c r="H165" i="30" s="1"/>
  <c r="J165" i="30" s="1"/>
  <c r="F62" i="29"/>
  <c r="H138" i="30" s="1"/>
  <c r="J138" i="30" s="1"/>
  <c r="J64" i="29"/>
  <c r="J62" i="29"/>
  <c r="J67" i="24"/>
  <c r="J65" i="24"/>
  <c r="H68" i="23"/>
  <c r="H66" i="23"/>
  <c r="J99" i="20"/>
  <c r="F68" i="23"/>
  <c r="H159" i="30" s="1"/>
  <c r="J159" i="30" s="1"/>
  <c r="H78" i="30"/>
  <c r="H83" i="30"/>
  <c r="J83" i="30" s="1"/>
  <c r="F57" i="34"/>
  <c r="F55" i="35"/>
  <c r="F62" i="35" s="1"/>
  <c r="H139" i="30" s="1"/>
  <c r="J139" i="30" s="1"/>
  <c r="F55" i="36"/>
  <c r="F62" i="36" s="1"/>
  <c r="H140" i="30" s="1"/>
  <c r="J140" i="30" s="1"/>
  <c r="H55" i="36"/>
  <c r="H55" i="35"/>
  <c r="F84" i="21"/>
  <c r="F97" i="21" s="1"/>
  <c r="H133" i="30" s="1"/>
  <c r="J133" i="30" s="1"/>
  <c r="H57" i="24"/>
  <c r="F57" i="24"/>
  <c r="Z38" i="24"/>
  <c r="H68" i="30"/>
  <c r="J68" i="30" s="1"/>
  <c r="H69" i="30"/>
  <c r="J69" i="30" s="1"/>
  <c r="H88" i="30"/>
  <c r="J88" i="30" s="1"/>
  <c r="H81" i="25"/>
  <c r="Z37" i="25"/>
  <c r="F81" i="25"/>
  <c r="F97" i="25" s="1"/>
  <c r="H135" i="30" s="1"/>
  <c r="J135" i="30" s="1"/>
  <c r="F84" i="22"/>
  <c r="H84" i="22"/>
  <c r="F86" i="20"/>
  <c r="F99" i="20" s="1"/>
  <c r="H131" i="30" s="1"/>
  <c r="J131" i="30" s="1"/>
  <c r="H86" i="20"/>
  <c r="H122" i="30" l="1"/>
  <c r="J122" i="30" s="1"/>
  <c r="F66" i="49"/>
  <c r="F64" i="48"/>
  <c r="H124" i="30" s="1"/>
  <c r="H64" i="48"/>
  <c r="H64" i="46"/>
  <c r="F66" i="46"/>
  <c r="H147" i="30" s="1"/>
  <c r="J147" i="30" s="1"/>
  <c r="F64" i="46"/>
  <c r="H120" i="30" s="1"/>
  <c r="J120" i="30" s="1"/>
  <c r="H87" i="30"/>
  <c r="J87" i="30" s="1"/>
  <c r="F64" i="39"/>
  <c r="H168" i="30" s="1"/>
  <c r="J168" i="30" s="1"/>
  <c r="F62" i="39"/>
  <c r="H141" i="30" s="1"/>
  <c r="J141" i="30" s="1"/>
  <c r="H62" i="39"/>
  <c r="H64" i="39"/>
  <c r="H102" i="22"/>
  <c r="H100" i="22"/>
  <c r="H99" i="25"/>
  <c r="H97" i="25"/>
  <c r="H82" i="30"/>
  <c r="J82" i="30" s="1"/>
  <c r="F100" i="22"/>
  <c r="H136" i="30" s="1"/>
  <c r="J136" i="30" s="1"/>
  <c r="F64" i="34"/>
  <c r="H121" i="30" s="1"/>
  <c r="J121" i="30" s="1"/>
  <c r="H64" i="36"/>
  <c r="H62" i="36"/>
  <c r="H64" i="35"/>
  <c r="H62" i="35"/>
  <c r="H80" i="30"/>
  <c r="J80" i="30" s="1"/>
  <c r="F65" i="24"/>
  <c r="H134" i="30" s="1"/>
  <c r="J134" i="30" s="1"/>
  <c r="H67" i="24"/>
  <c r="H65" i="24"/>
  <c r="H99" i="20"/>
  <c r="F64" i="36"/>
  <c r="H167" i="30" s="1"/>
  <c r="J167" i="30" s="1"/>
  <c r="H86" i="30"/>
  <c r="J86" i="30" s="1"/>
  <c r="F64" i="35"/>
  <c r="H166" i="30" s="1"/>
  <c r="J166" i="30" s="1"/>
  <c r="H85" i="30"/>
  <c r="J85" i="30" s="1"/>
  <c r="H67" i="30"/>
  <c r="J67" i="30" s="1"/>
  <c r="F99" i="21"/>
  <c r="H160" i="30" s="1"/>
  <c r="J160" i="30" s="1"/>
  <c r="H79" i="30"/>
  <c r="J79" i="30" s="1"/>
  <c r="F67" i="24"/>
  <c r="H161" i="30" s="1"/>
  <c r="J161" i="30" s="1"/>
  <c r="F99" i="25"/>
  <c r="H162" i="30" s="1"/>
  <c r="J162" i="30" s="1"/>
  <c r="H81" i="30"/>
  <c r="J81" i="30" s="1"/>
  <c r="F102" i="22"/>
  <c r="H163" i="30" s="1"/>
  <c r="J163" i="30" s="1"/>
  <c r="J78" i="30"/>
  <c r="H77" i="30"/>
  <c r="J77" i="30" s="1"/>
  <c r="J33" i="22" l="1"/>
  <c r="H33" i="22" l="1"/>
  <c r="F33" i="22"/>
  <c r="F24" i="28"/>
  <c r="J26" i="28"/>
  <c r="F26" i="28" l="1"/>
  <c r="F64" i="28" s="1"/>
  <c r="H169" i="30" s="1"/>
  <c r="J169" i="30" s="1"/>
  <c r="AC29" i="28"/>
  <c r="J64" i="28"/>
  <c r="J62" i="28"/>
  <c r="F62" i="28" l="1"/>
  <c r="H142" i="30" s="1"/>
  <c r="J142" i="30" s="1"/>
  <c r="J111" i="38" l="1"/>
  <c r="J112" i="38"/>
  <c r="J113" i="38"/>
  <c r="J114" i="38"/>
  <c r="J115" i="38" l="1"/>
  <c r="F19" i="38" s="1"/>
  <c r="H19" i="38" l="1"/>
  <c r="H24" i="38" s="1"/>
  <c r="H28" i="38" s="1"/>
  <c r="J19" i="38"/>
  <c r="J24" i="38" s="1"/>
  <c r="J28" i="38" s="1"/>
  <c r="F24" i="38"/>
  <c r="F28" i="38" s="1"/>
  <c r="AC28" i="38"/>
  <c r="J64" i="38" l="1"/>
  <c r="J66" i="38"/>
  <c r="H44" i="30"/>
  <c r="J44" i="30" s="1"/>
  <c r="F66" i="38"/>
  <c r="H152" i="30" s="1"/>
  <c r="J152" i="30" s="1"/>
  <c r="F64" i="38"/>
  <c r="H125" i="30" s="1"/>
  <c r="J125" i="30" s="1"/>
  <c r="H66" i="38"/>
  <c r="H64" i="38"/>
  <c r="H24" i="41"/>
  <c r="H28" i="41" s="1"/>
  <c r="H64" i="41" l="1"/>
  <c r="H66" i="41"/>
  <c r="J111" i="41"/>
  <c r="J115" i="41" s="1"/>
  <c r="F19" i="41" s="1"/>
  <c r="J19" i="41" l="1"/>
  <c r="J24" i="41" s="1"/>
  <c r="J28" i="41" s="1"/>
  <c r="F24" i="41"/>
  <c r="AC28" i="41"/>
  <c r="H49" i="30" l="1"/>
  <c r="F28" i="41"/>
  <c r="J66" i="41"/>
  <c r="J64" i="41"/>
  <c r="F66" i="41" l="1"/>
  <c r="H157" i="30" s="1"/>
  <c r="F64" i="41"/>
  <c r="H130" i="30" s="1"/>
  <c r="F76" i="30" l="1"/>
  <c r="J49" i="30"/>
  <c r="J63" i="30" s="1"/>
  <c r="J76" i="30" l="1"/>
  <c r="J90" i="30" s="1"/>
  <c r="F103" i="30"/>
  <c r="F130" i="30" l="1"/>
  <c r="J130" i="30" s="1"/>
  <c r="J144" i="30" s="1"/>
  <c r="J103" i="30"/>
  <c r="J117" i="30" s="1"/>
  <c r="F157" i="30"/>
  <c r="J157" i="30" s="1"/>
  <c r="F12" i="47" l="1"/>
  <c r="U8" i="47" s="1"/>
  <c r="F13" i="47"/>
  <c r="U9" i="47" s="1"/>
  <c r="H13" i="47"/>
  <c r="F14" i="47"/>
  <c r="U10" i="47" s="1"/>
  <c r="H14" i="47"/>
  <c r="H15" i="47"/>
  <c r="F15" i="47"/>
  <c r="U11" i="47" s="1"/>
  <c r="F17" i="47" l="1"/>
  <c r="H17" i="47"/>
  <c r="F34" i="47" l="1"/>
  <c r="H34" i="47"/>
  <c r="F11" i="33"/>
  <c r="H11" i="33" s="1"/>
  <c r="H12" i="33" s="1"/>
  <c r="H67" i="33" s="1"/>
  <c r="F10" i="48"/>
  <c r="H10" i="48" s="1"/>
  <c r="H11" i="48" s="1"/>
  <c r="H66" i="48" s="1"/>
  <c r="F10" i="32"/>
  <c r="H10" i="32" s="1"/>
  <c r="H11" i="32" s="1"/>
  <c r="H66" i="32" s="1"/>
  <c r="F10" i="26"/>
  <c r="H10" i="26" s="1"/>
  <c r="H11" i="26" s="1"/>
  <c r="H102" i="26" s="1"/>
  <c r="F10" i="20"/>
  <c r="F11" i="20" s="1"/>
  <c r="F101" i="20" s="1"/>
  <c r="H158" i="30" s="1"/>
  <c r="J158" i="30" s="1"/>
  <c r="F77" i="49"/>
  <c r="H77" i="49" s="1"/>
  <c r="H78" i="49" s="1"/>
  <c r="H133" i="49" s="1"/>
  <c r="F10" i="34"/>
  <c r="H10" i="34" s="1"/>
  <c r="H11" i="34" s="1"/>
  <c r="H66" i="34" s="1"/>
  <c r="J10" i="34" l="1"/>
  <c r="J11" i="34" s="1"/>
  <c r="J66" i="34" s="1"/>
  <c r="H10" i="20"/>
  <c r="H11" i="20" s="1"/>
  <c r="H101" i="20" s="1"/>
  <c r="F11" i="32"/>
  <c r="F66" i="32" s="1"/>
  <c r="H150" i="30" s="1"/>
  <c r="J150" i="30" s="1"/>
  <c r="F11" i="34"/>
  <c r="F66" i="34" s="1"/>
  <c r="H148" i="30" s="1"/>
  <c r="J148" i="30" s="1"/>
  <c r="J77" i="49"/>
  <c r="J78" i="49" s="1"/>
  <c r="J133" i="49" s="1"/>
  <c r="F11" i="48"/>
  <c r="F66" i="48" s="1"/>
  <c r="H151" i="30" s="1"/>
  <c r="F78" i="49"/>
  <c r="J13" i="49" s="1"/>
  <c r="J10" i="32"/>
  <c r="J11" i="32" s="1"/>
  <c r="J66" i="32" s="1"/>
  <c r="F12" i="49"/>
  <c r="F13" i="49" s="1"/>
  <c r="J11" i="33"/>
  <c r="J12" i="33" s="1"/>
  <c r="J67" i="33" s="1"/>
  <c r="F11" i="26"/>
  <c r="F102" i="26" s="1"/>
  <c r="H164" i="30" s="1"/>
  <c r="J164" i="30" s="1"/>
  <c r="J12" i="49"/>
  <c r="J10" i="48"/>
  <c r="J11" i="48" s="1"/>
  <c r="J66" i="48" s="1"/>
  <c r="J151" i="30" s="1"/>
  <c r="F12" i="33"/>
  <c r="F67" i="33" s="1"/>
  <c r="J10" i="26"/>
  <c r="J11" i="26" s="1"/>
  <c r="J102" i="26" s="1"/>
  <c r="J10" i="20"/>
  <c r="J11" i="20" s="1"/>
  <c r="J101" i="20" s="1"/>
  <c r="F133" i="49" l="1"/>
  <c r="J68" i="49" s="1"/>
  <c r="H149" i="30"/>
  <c r="J149" i="30" s="1"/>
  <c r="J171" i="30" s="1"/>
  <c r="F68" i="49"/>
  <c r="J34" i="30"/>
  <c r="H34" i="30" l="1"/>
  <c r="J36"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tc={2FC355D6-B711-B043-BC05-5DA833CF2F8A}</author>
  </authors>
  <commentList>
    <comment ref="F41" authorId="0" shapeId="0" xr:uid="{2FC355D6-B711-B043-BC05-5DA833CF2F8A}">
      <text>
        <t>[Trådad kommentar]
I din version av Excel kan du läsa den här trådade kommentaren, men eventuella ändringar i den tas bort om filen öppnas i en senare version av Excel. Läs mer: https://go.microsoft.com/fwlink/?linkid=870924
Kommentar:
    Siemeniä tarvitaan noin 15 % enemmän, kun taimitarve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tc={53427216-4B07-4F65-8694-88975046D36F}</author>
  </authors>
  <commentList>
    <comment ref="J8" authorId="0" shapeId="0" xr:uid="{53427216-4B07-4F65-8694-88975046D36F}">
      <text>
        <t>[Trådad kommentar]
I din version av Excel kan du läsa den här trådade kommentaren, men eventuella ändringar i den tas bort om filen öppnas i en senare version av Excel. Läs mer: https://go.microsoft.com/fwlink/?linkid=870924
Kommentar:
    Tätä tukea voi saada enintään 50 hehtaarille.</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<sst xmlns="http://schemas.openxmlformats.org/spreadsheetml/2006/main" count="16551" uniqueCount="916">
  <si>
    <t>HÄRIFRÅN_KOMMER_DU_TILL_KALKYLERNA</t>
  </si>
  <si>
    <t>AREALER</t>
  </si>
  <si>
    <t xml:space="preserve">Du kan fylla i din egen gårds arealer och medelskördar i de ljusblåa rutorna i tabellen nedan. De övriga rutorna innehåller formler, ifall du byter ut innehåller i dessa rutor fungerar kalkylbladet inte som det skall. </t>
  </si>
  <si>
    <t xml:space="preserve">Genom att klicka på växtens namn kan du förflytta dig till det växtspecifika kalkylbladet.  </t>
  </si>
  <si>
    <t>POTATIS</t>
  </si>
  <si>
    <t xml:space="preserve">
 AREAL</t>
  </si>
  <si>
    <t>SÅLD SKÖRD</t>
  </si>
  <si>
    <t>ha</t>
  </si>
  <si>
    <t>kg/ha</t>
  </si>
  <si>
    <t xml:space="preserve">
FRILANDSGRÖNSAKER</t>
  </si>
  <si>
    <t>AREAL</t>
  </si>
  <si>
    <t>MOROT</t>
  </si>
  <si>
    <t>KÅL</t>
  </si>
  <si>
    <t>LÖK</t>
  </si>
  <si>
    <t>SÄTTLÖK</t>
  </si>
  <si>
    <t>TRÄDGÅRSÄRT</t>
  </si>
  <si>
    <t>GRÖNSAK FRÅN FRÖ 1</t>
  </si>
  <si>
    <t>GRÖNSAK FRÅN FRÖ 2</t>
  </si>
  <si>
    <t>GRÖNSAK PLANTERAD 1</t>
  </si>
  <si>
    <t>BÄR OCH FRUKT</t>
  </si>
  <si>
    <t>Hela arealen</t>
  </si>
  <si>
    <t>Etableringsareal</t>
  </si>
  <si>
    <t>Förkultiveringsareal</t>
  </si>
  <si>
    <t>Skördeareal</t>
  </si>
  <si>
    <t>Avslutande areal</t>
  </si>
  <si>
    <t>GRÖNSAK PLANTERAD 2</t>
  </si>
  <si>
    <t>JORDGUBBE FRILAND</t>
  </si>
  <si>
    <t>GRÖNSAK PLANTERAD 3</t>
  </si>
  <si>
    <t xml:space="preserve">Skörd </t>
  </si>
  <si>
    <t>FÖRKULTIVERING AV KÅL</t>
  </si>
  <si>
    <t>m2</t>
  </si>
  <si>
    <t>kpl</t>
  </si>
  <si>
    <t>ANVÄNDNING AV INSÄKTSNÄT</t>
  </si>
  <si>
    <t>Separat kalkyl, kål som exempelgröda</t>
  </si>
  <si>
    <t>SKÖRDEÅR</t>
  </si>
  <si>
    <t>FÖRKULTIVERINGSÅR</t>
  </si>
  <si>
    <t>JORDGUBBE TUNNEL</t>
  </si>
  <si>
    <t xml:space="preserve">
Fleråriga växters helhetsareal består av växter i olika växtskeden: planteringsareal, etableringsareal och skördeareal. Varje växtskede har sin egen skördenivå. Genom att klicka på stjärnan före växtnamnet kan du redigera arealer och skördar. I punkten för såld skörd finns ett vägt medeltal för medelskörden för de olika växtskedena. Denna medelskörd används i beräkningarna som skörd.</t>
  </si>
  <si>
    <t>Skörd</t>
  </si>
  <si>
    <t>☆</t>
  </si>
  <si>
    <t>år</t>
  </si>
  <si>
    <t>HALLON FRILAND</t>
  </si>
  <si>
    <t>HALLON TUNNEL</t>
  </si>
  <si>
    <t>SVARTA VINBÄR</t>
  </si>
  <si>
    <t>BUSKBLÅBÄR</t>
  </si>
  <si>
    <t>ÄPPLE</t>
  </si>
  <si>
    <t>ÅKERVÄXTER</t>
  </si>
  <si>
    <t>HAVRE</t>
  </si>
  <si>
    <t>KORN</t>
  </si>
  <si>
    <t>BUSKEBLÅBÄR</t>
  </si>
  <si>
    <t>VETE</t>
  </si>
  <si>
    <t>HÖSTRÅG</t>
  </si>
  <si>
    <t>NATURVÅRDSÅKER</t>
  </si>
  <si>
    <t>VALL</t>
  </si>
  <si>
    <t>SUMMA</t>
  </si>
  <si>
    <t>EGEN ÅKER</t>
  </si>
  <si>
    <t>ARRENDERAD ÅKER</t>
  </si>
  <si>
    <t>€/ha</t>
  </si>
  <si>
    <t>TOTALT</t>
  </si>
  <si>
    <t>STÖD</t>
  </si>
  <si>
    <t xml:space="preserve">Stödsystemet har flera stödformer och under stödformerna olika åtgärder. En detaljerad stödnivåtabell hittar du genom att trycka på texten STÖD. Den vägen kan du välja de miljöstödsåtgärder som finns på din gård. </t>
  </si>
  <si>
    <t>VÄLJ DIN STÖDINFORMATION</t>
  </si>
  <si>
    <t>Stödområde</t>
  </si>
  <si>
    <t>AB</t>
  </si>
  <si>
    <t>Gården är belägen på område som berättigar miljöstöd</t>
  </si>
  <si>
    <t>Målområde</t>
  </si>
  <si>
    <t>GÅRDENS EGENDOM</t>
  </si>
  <si>
    <t xml:space="preserve">Nedan är uppräknat gårdens byggnader, maskiner och långvariga produktionsmedel. Du kan uppdatera alla värden i de blå rutorna t.ex. införskaffningspriser och årsmodeller. Du kan vid behov även ändra namnet på egendomsföremålen. </t>
  </si>
  <si>
    <t xml:space="preserve">Kostnader som uppstår på förvärvad egendom är avskrivning, ränta, underhåll och försäkringar. Uträkningarna görs med inköpspriset som grund, men även t.ex. maskinens ålder inverkar på avskrivningskostnaden. Byggnader, maskiner, utrustning och långvariga produktionsmedel används ofta för flera växter, kalkylerna utgår från att kostnaderna fördelas enligt arealen.  Med på listan finns även produktionsmedel som används endast på endast på en del växter, såsom växttunnlar som endast används för bär som odlas i tunnlar. Du kan göra ändringar i hur kostnaderna fördelas i fliken Egendom. De noggrannare uträkningarna hittar du också i fliken Egendom, du kommer även till dessa respektive ägendomsdelar genom att klicka på texten 'Byggnader', 'Maskiner och utrustning' eller 'Långvariga produktionsmedel'. Från denna mera noggranna uträkning kan du om du så önskar även ändra på fördelningen av kostnaderna. </t>
  </si>
  <si>
    <t>BYGGNADER</t>
  </si>
  <si>
    <t xml:space="preserve">
Till Byggnader räknas alla byggnader som har en grund. Alltså lätta växttunnlar räknas inte som byggnader utan klassificeras som långvariga produktonsmedel. Med byggnadernas införskaffningspris menar man materialkostnader samt arbetskostnader, dvs alla kostnader som krävs för uppförandet av byggnaden. En del byggnader används endast för trädgårdsproduktionen såsom inkvarteringsutrmmen och packerier. Dessa byggnaders kostnader riktas endast till de växter som förutsätter dem. Byggnader som endast används inom trädgårdsproduktionen är markerade med grön färg. Byggnader som är markerade med svart färg används för alla grödor. Byggnadernas användingstid kan redigeras på Egendoms-bladet.</t>
  </si>
  <si>
    <t>INKÖPSPRIS</t>
  </si>
  <si>
    <t>ÅRSMODELL</t>
  </si>
  <si>
    <r>
      <t>Inkvarteringsutrymme, 200 m</t>
    </r>
    <r>
      <rPr>
        <vertAlign val="superscript"/>
        <sz val="14"/>
        <color rgb="FF00B050"/>
        <rFont val="Arial"/>
        <family val="2"/>
      </rPr>
      <t>2</t>
    </r>
  </si>
  <si>
    <t>€/st</t>
  </si>
  <si>
    <r>
      <t>Packeri/ lådlager, 100 m</t>
    </r>
    <r>
      <rPr>
        <vertAlign val="superscript"/>
        <sz val="14"/>
        <color rgb="FF00B050"/>
        <rFont val="Arial"/>
        <family val="2"/>
      </rPr>
      <t>2</t>
    </r>
  </si>
  <si>
    <r>
      <t>Maskinhall, 250 m</t>
    </r>
    <r>
      <rPr>
        <vertAlign val="superscript"/>
        <sz val="14"/>
        <rFont val="Arial"/>
        <family val="2"/>
      </rPr>
      <t>2</t>
    </r>
  </si>
  <si>
    <r>
      <t>Kylutrymme, 20 m</t>
    </r>
    <r>
      <rPr>
        <vertAlign val="superscript"/>
        <sz val="14"/>
        <color rgb="FF00B050"/>
        <rFont val="Arial"/>
        <family val="2"/>
      </rPr>
      <t>2</t>
    </r>
  </si>
  <si>
    <t>Lökförråd/ Tork</t>
  </si>
  <si>
    <t>Potatislager</t>
  </si>
  <si>
    <t>Iordningsställningsutrymme, potatis</t>
  </si>
  <si>
    <t>trädgårdsproduktionens byggnad X</t>
  </si>
  <si>
    <t>byggnad X</t>
  </si>
  <si>
    <t>MASKINER OCH UTRUSTNING</t>
  </si>
  <si>
    <t xml:space="preserve">Till maskiner och utrustning hör olika motordriva maskiner samt utrustning som drivs av en traktor. Istället för utrustning kan termen redskap användas. En del av maskinerna och utrustningen används för gårdens alla odlingsväxter, dessa är märkta med svart färg. Endel av utrustningen används endast för vissa grödor och den här utrustningens kostnader riktas endast till dessa växter. Utrustning som är märkt med grön färg används bara på vissa grödor. Hur maskinernas kostnader fördelas hittar du på mellanbladet 'Egendom'. Var och en av maskinernas uppskattade användsingstid kan redigeras i Egendom-fliken. </t>
  </si>
  <si>
    <t>traktor 60 hk</t>
  </si>
  <si>
    <t>traktor 100 hk</t>
  </si>
  <si>
    <t>plog, 3 skär</t>
  </si>
  <si>
    <t>harv 3m</t>
  </si>
  <si>
    <t>Kivi Pekka</t>
  </si>
  <si>
    <t>jordgubbsspruta 600 l</t>
  </si>
  <si>
    <t>jordgubbsbom</t>
  </si>
  <si>
    <t>borstmaskin</t>
  </si>
  <si>
    <t>precisionssåmaskin</t>
  </si>
  <si>
    <t>planteringsmaskin</t>
  </si>
  <si>
    <t>morotsupptagare</t>
  </si>
  <si>
    <t>lökupptagare</t>
  </si>
  <si>
    <t>gödselspridare</t>
  </si>
  <si>
    <t>bädd och plastläggningsmaskin</t>
  </si>
  <si>
    <t>paketbil</t>
  </si>
  <si>
    <t>kallvattentvättare</t>
  </si>
  <si>
    <t>körbar gräsklippare</t>
  </si>
  <si>
    <t>släpvagn</t>
  </si>
  <si>
    <t>bevattningsmaskin för potatis</t>
  </si>
  <si>
    <t>tvätt- och förpackningslinje för morötter</t>
  </si>
  <si>
    <t>planteringsmaskin fö potatis</t>
  </si>
  <si>
    <t>enradig potatisupptagare</t>
  </si>
  <si>
    <t>sorteringslinje för potatis</t>
  </si>
  <si>
    <t>jordfräs med myllningsfunktion</t>
  </si>
  <si>
    <t>trädgårdsproduktion maskin X</t>
  </si>
  <si>
    <t>maskin X</t>
  </si>
  <si>
    <t xml:space="preserve">LÅNGVARIGA PRODUKTIONSMEDEL	</t>
  </si>
  <si>
    <t xml:space="preserve">Med långvariga produktionsmedel menas ägenomsföremål som håller flera år i använding men inte är maskiner eller byggnader. Dessa produktionsmedels uppskattade användningstid kan redigeras i Egendom-fliken.  </t>
  </si>
  <si>
    <t>ENHETSPRIS</t>
  </si>
  <si>
    <t>ANTAL</t>
  </si>
  <si>
    <t>Plockningskorg</t>
  </si>
  <si>
    <t>st</t>
  </si>
  <si>
    <t>€</t>
  </si>
  <si>
    <t>Bärställning för lådor</t>
  </si>
  <si>
    <t>Fin-lava</t>
  </si>
  <si>
    <t>Våg</t>
  </si>
  <si>
    <t>Frostbekämpningsutrustning</t>
  </si>
  <si>
    <t>Droppbevattningsutrustning</t>
  </si>
  <si>
    <t>Droppslangar</t>
  </si>
  <si>
    <t>m</t>
  </si>
  <si>
    <t>Gödselblandare</t>
  </si>
  <si>
    <t>Fiberdukar 17 g/m2</t>
  </si>
  <si>
    <t>Vinter fiberdukar 23 g/m2, vinterskydd</t>
  </si>
  <si>
    <t>Jordgubbsplast</t>
  </si>
  <si>
    <t>€/m</t>
  </si>
  <si>
    <t>Täcktyg</t>
  </si>
  <si>
    <t>Ryggspruta</t>
  </si>
  <si>
    <t>Handverktyg</t>
  </si>
  <si>
    <t>Växttunnel ram inkl. uppsättning</t>
  </si>
  <si>
    <t>€/m2</t>
  </si>
  <si>
    <t>Växttunnelplast</t>
  </si>
  <si>
    <t>Lagringslådor</t>
  </si>
  <si>
    <t>Pallyftare</t>
  </si>
  <si>
    <t>trädgårdsproduktionsmedel X</t>
  </si>
  <si>
    <t>TÄCKDIKEN</t>
  </si>
  <si>
    <t>ANSKAFFNINGSVÄRDE</t>
  </si>
  <si>
    <t>Täckdiken</t>
  </si>
  <si>
    <t>ALLMÄNNA KOSTNADER</t>
  </si>
  <si>
    <t>Allmänna kostnader är kostnader som gäller hela gården. Dessa kostnader fördelas på odlingsväxten enligt odlingsarealen.</t>
  </si>
  <si>
    <t>Allmänna kostnader/fastighetsskatt</t>
  </si>
  <si>
    <t>€/gård</t>
  </si>
  <si>
    <t>Markkarteringsprover med fem års mellanrum 5 st/megalab 3 st</t>
  </si>
  <si>
    <t>Analystjänster</t>
  </si>
  <si>
    <t>LFÖPL-kostnader</t>
  </si>
  <si>
    <t xml:space="preserve">Övrig olycksfalls-/pensionsförsäkringsavgift för företagare </t>
  </si>
  <si>
    <t>Arbetshälsovård</t>
  </si>
  <si>
    <t>Arbetsledning, administration, bokföring, mm.</t>
  </si>
  <si>
    <t>Auditering</t>
  </si>
  <si>
    <t>Marknadsföringskostnader</t>
  </si>
  <si>
    <t>Kontorsutgifter</t>
  </si>
  <si>
    <t>Allmänna kostnader X</t>
  </si>
  <si>
    <t>HELA GÅRDENS LÖNSAMHET</t>
  </si>
  <si>
    <t xml:space="preserve">Kalkyleringen nedan beskriver hela gårdens lönsamhet. Dessa siffror kommer från Gårdens info (arealer) samt från de växtspecifika uträkningarna. Ifall du vill byta ut värden i denna tabell gå till de växtspecifika kalkylerna. </t>
  </si>
  <si>
    <t>Intäkter</t>
  </si>
  <si>
    <t>Försäljningsintäkter</t>
  </si>
  <si>
    <t>Matpotatis</t>
  </si>
  <si>
    <t>Morot</t>
  </si>
  <si>
    <t>Kål</t>
  </si>
  <si>
    <t>Lök</t>
  </si>
  <si>
    <t>Sättlök</t>
  </si>
  <si>
    <t>Trädgårdsärt</t>
  </si>
  <si>
    <t>Grönsak från frö 1</t>
  </si>
  <si>
    <t>Grönsak från frö 2</t>
  </si>
  <si>
    <t>Grönsak planterad 1</t>
  </si>
  <si>
    <t>Grönsak planterad 2</t>
  </si>
  <si>
    <t>Grönsak planterad 3</t>
  </si>
  <si>
    <t>Jordgubbe friland</t>
  </si>
  <si>
    <t>Jordgubbe tunnel</t>
  </si>
  <si>
    <t>Hallon friland</t>
  </si>
  <si>
    <t>Hallon tunnel</t>
  </si>
  <si>
    <t>Svart vinbär</t>
  </si>
  <si>
    <t>Buskblåbär</t>
  </si>
  <si>
    <t>Äpple</t>
  </si>
  <si>
    <t>Havre</t>
  </si>
  <si>
    <t>Korn</t>
  </si>
  <si>
    <t>Vete</t>
  </si>
  <si>
    <t>Höstråg</t>
  </si>
  <si>
    <t>Naturvårdsåker</t>
  </si>
  <si>
    <t>Vall</t>
  </si>
  <si>
    <t>Tuet</t>
  </si>
  <si>
    <t>Intäkter sammanlagt = omsättning</t>
  </si>
  <si>
    <t>Rörliga kostnader</t>
  </si>
  <si>
    <t xml:space="preserve">Kål </t>
  </si>
  <si>
    <t>Trädgårdslök</t>
  </si>
  <si>
    <t>Rörliga kostnader sammanlagt</t>
  </si>
  <si>
    <t>Fasta kostnader</t>
  </si>
  <si>
    <t>Fasta kostnader sammanlagt</t>
  </si>
  <si>
    <t>Lönekrav för eget arbete</t>
  </si>
  <si>
    <t>Trädgårsärt</t>
  </si>
  <si>
    <t>Lönekrav för eget arbete sammanlagt</t>
  </si>
  <si>
    <t>PRODUKTIONSKOSTNADER</t>
  </si>
  <si>
    <t>Grönsal från frö 2</t>
  </si>
  <si>
    <t>PRODUKTIONSKOSTNADER SAMMANLAGT</t>
  </si>
  <si>
    <t>FÖRETAGARENS VINST</t>
  </si>
  <si>
    <t>FÖRETAGARENS VINST SAMMANLAGT</t>
  </si>
  <si>
    <t>MATPOTATIS</t>
  </si>
  <si>
    <t>TILL FRAMSIDAN</t>
  </si>
  <si>
    <t xml:space="preserve">Lönsamhetskalkylerna består först av inkomsterna. Därefter kommer utgifterna. Kalkylerna innehåller mycket bakgrundsinformation och bakgrundsuträkningar dit du kommer genom att klicka på de understräckade delarna. </t>
  </si>
  <si>
    <t>LÖNSAMHET FÖR KONVENTIONELLT ODLAD POTATIS</t>
  </si>
  <si>
    <t>Inkomster</t>
  </si>
  <si>
    <t>Försäljningsinkomster</t>
  </si>
  <si>
    <t>€/kg</t>
  </si>
  <si>
    <t>€/potatis-areal</t>
  </si>
  <si>
    <t>Försäljningsstorlek</t>
  </si>
  <si>
    <t>ANDEL AV FÖRSÄLJNING</t>
  </si>
  <si>
    <t>PRIS</t>
  </si>
  <si>
    <t>Stöd</t>
  </si>
  <si>
    <t>kg</t>
  </si>
  <si>
    <t>påse</t>
  </si>
  <si>
    <t>Summa inkomster = omsättning</t>
  </si>
  <si>
    <t>säck</t>
  </si>
  <si>
    <t>Förpackning X</t>
  </si>
  <si>
    <t xml:space="preserve">Rörliga kostnader </t>
  </si>
  <si>
    <t>Frö</t>
  </si>
  <si>
    <t>Gödsel och kalk</t>
  </si>
  <si>
    <t>IPM Växtskydd</t>
  </si>
  <si>
    <t>Packningsmaterial</t>
  </si>
  <si>
    <t>Fraktkostnader</t>
  </si>
  <si>
    <t>Maskinkostnader och entreprenad</t>
  </si>
  <si>
    <t>Energikostnader</t>
  </si>
  <si>
    <t>Anställd arbetskraft</t>
  </si>
  <si>
    <t>ALMÄNNA KOSTNADER, potatisens andel</t>
  </si>
  <si>
    <t>HYRESKOSTNADER ÅKER, potatisens andel</t>
  </si>
  <si>
    <t xml:space="preserve">Fasta kostnader, potatisens andel </t>
  </si>
  <si>
    <t>Avskrivning</t>
  </si>
  <si>
    <t>Ränta</t>
  </si>
  <si>
    <t>Allmänna kostnader</t>
  </si>
  <si>
    <t>Reparation och underhåll</t>
  </si>
  <si>
    <t>Hyrestkostnader åker</t>
  </si>
  <si>
    <t>Försäkringar</t>
  </si>
  <si>
    <t>Byggnader</t>
  </si>
  <si>
    <t>Maskiner och utrustning</t>
  </si>
  <si>
    <t>Långvariga produktionsmedel</t>
  </si>
  <si>
    <t>Täckdik</t>
  </si>
  <si>
    <t>LÅNVARIGA PRODUKTIONSMEDEL</t>
  </si>
  <si>
    <t>SKÖRDEÅRENS KOSTNADER</t>
  </si>
  <si>
    <t>TILL SIDANS BÖRJAN</t>
  </si>
  <si>
    <t>UTSÄDE</t>
  </si>
  <si>
    <t>HEKTARKOSTNAD</t>
  </si>
  <si>
    <t>OBSERVERA</t>
  </si>
  <si>
    <t>Potatis</t>
  </si>
  <si>
    <t>€/kpl</t>
  </si>
  <si>
    <t>GÖDSEL OCH KALK</t>
  </si>
  <si>
    <t>YaraMila Hevi 1</t>
  </si>
  <si>
    <t>Startgödsel</t>
  </si>
  <si>
    <t>YaraLiva Nitrabor</t>
  </si>
  <si>
    <t>gödsel X</t>
  </si>
  <si>
    <t>IPM VÄXTSKYDD</t>
  </si>
  <si>
    <t>Växtskyddsprogrammet är vägledande, kontrollera godkända ämnen och arter från KemiDigi innan användning.</t>
  </si>
  <si>
    <t>KEMISK</t>
  </si>
  <si>
    <t>Maxim (betning)</t>
  </si>
  <si>
    <t>l</t>
  </si>
  <si>
    <t>€/l</t>
  </si>
  <si>
    <t>Senkor SC (ogräs)</t>
  </si>
  <si>
    <t>Titus (ogräs)</t>
  </si>
  <si>
    <t>g</t>
  </si>
  <si>
    <t>€/g</t>
  </si>
  <si>
    <t>Revus (bladmögel, 1. sprutning)</t>
  </si>
  <si>
    <t>Infinito (bladmögel, 2.,3. ja 4. sprutning)</t>
  </si>
  <si>
    <t>Ranman TOP (bladmögel, 5. sprutning)</t>
  </si>
  <si>
    <t>ämne X</t>
  </si>
  <si>
    <t>BIOLOGISK</t>
  </si>
  <si>
    <t>preparat X</t>
  </si>
  <si>
    <t>PACKNINGSMATERIAL</t>
  </si>
  <si>
    <t>2 kg påse</t>
  </si>
  <si>
    <t>0,5 kg påse</t>
  </si>
  <si>
    <t>10 kg säck</t>
  </si>
  <si>
    <t>förpackning X</t>
  </si>
  <si>
    <t>FRAKTKOSTNADER SKÖRDEÅR</t>
  </si>
  <si>
    <t>frakt x</t>
  </si>
  <si>
    <t>MASKINHYRA OCH ENTREPRENADTJÄNSTER</t>
  </si>
  <si>
    <t>Entreprenad X</t>
  </si>
  <si>
    <t>ENERGIKOSTNADER ETABLERINGSÅR</t>
  </si>
  <si>
    <t>El</t>
  </si>
  <si>
    <t>kWh</t>
  </si>
  <si>
    <t>€/kWh</t>
  </si>
  <si>
    <t>Brännolja för traktor</t>
  </si>
  <si>
    <t>h</t>
  </si>
  <si>
    <t>Smörjemedel</t>
  </si>
  <si>
    <t>Diesel</t>
  </si>
  <si>
    <t>Bensin för gräsklippare</t>
  </si>
  <si>
    <t>energi x</t>
  </si>
  <si>
    <t>ARBETSINSATS</t>
  </si>
  <si>
    <t xml:space="preserve">I tabellen nedan är arbetsmomenten listade på årsbasis. Du kan ändra siffrorna gällande arbetsanvändningen i de blåa rutorna. Dessutom kan du ändra arbetets enhetspris.  </t>
  </si>
  <si>
    <t>Enhetspriset innehåller även sociala kostnader.</t>
  </si>
  <si>
    <t>FÖRETAGARFAMILJENS ARBETE</t>
  </si>
  <si>
    <t>LÖNEARBETE</t>
  </si>
  <si>
    <t>Plogning</t>
  </si>
  <si>
    <t>h/ha</t>
  </si>
  <si>
    <t>€/h</t>
  </si>
  <si>
    <t>Harvning 2 ggr + Fräsning</t>
  </si>
  <si>
    <t>Groning</t>
  </si>
  <si>
    <t>Gödsling</t>
  </si>
  <si>
    <t>Plantering</t>
  </si>
  <si>
    <t>Kupning, 2 ggr.</t>
  </si>
  <si>
    <t>Observation av växtbestånd</t>
  </si>
  <si>
    <t>Installering och underhåll av bevattningsutrustning</t>
  </si>
  <si>
    <t>Övervakning av bevattningen</t>
  </si>
  <si>
    <t>Växtskydd</t>
  </si>
  <si>
    <t>Avlägsnande av blast</t>
  </si>
  <si>
    <t>Hantering och transport av skörd från åker till lager</t>
  </si>
  <si>
    <t>Iordningställande och förpackning för försäljning</t>
  </si>
  <si>
    <t>Försäljning av skörd</t>
  </si>
  <si>
    <t>arbetsmoment X</t>
  </si>
  <si>
    <t>TILL FRMASIDAN</t>
  </si>
  <si>
    <t>MÅNATLIGA ARBETAANVÄNDNING, H/HA</t>
  </si>
  <si>
    <t>I tabellen nedan listas den månatliga arbetsanvändningen, uppdelad i början och slutet av varje månad. Du kan fritt redigera siffrorna i de blåmarkerade cellerna. De årliga totalsummorna från tabellen nedan överförs automatiskt till kalkylens ARBETSANVÄNDNING-tabell.</t>
  </si>
  <si>
    <t>januari</t>
  </si>
  <si>
    <t>februari</t>
  </si>
  <si>
    <t>mars</t>
  </si>
  <si>
    <t>april</t>
  </si>
  <si>
    <t>maj</t>
  </si>
  <si>
    <t>juni</t>
  </si>
  <si>
    <t>juli</t>
  </si>
  <si>
    <t>augusti</t>
  </si>
  <si>
    <t>september</t>
  </si>
  <si>
    <t>oktober</t>
  </si>
  <si>
    <t>november</t>
  </si>
  <si>
    <t>december</t>
  </si>
  <si>
    <t>Arbetet sammanlagt</t>
  </si>
  <si>
    <t>LÖNSAMHET FÖR KONVENTIONELLT ODLAD MOROT</t>
  </si>
  <si>
    <t>Odlingsplanering, dokumentation och kvalitetssystem</t>
  </si>
  <si>
    <t>timmar/ha</t>
  </si>
  <si>
    <t>Produktionsavtal</t>
  </si>
  <si>
    <t>Jordbearbetning</t>
  </si>
  <si>
    <t>€/morots-areal</t>
  </si>
  <si>
    <t>Bäddbearbetning och sådd</t>
  </si>
  <si>
    <t>Gödsel</t>
  </si>
  <si>
    <t>knippe</t>
  </si>
  <si>
    <t>Installation av bevattningsutrustning</t>
  </si>
  <si>
    <t>Bevattning</t>
  </si>
  <si>
    <t>Höstunderhåll av bevattningsutrustning</t>
  </si>
  <si>
    <t>Växtskydd, ogräs</t>
  </si>
  <si>
    <t>Växtskydd, sjukdomar</t>
  </si>
  <si>
    <t>Växtskydd, skadedjur</t>
  </si>
  <si>
    <t>Radrensning och kupning</t>
  </si>
  <si>
    <t>Rengöring av lager och andra utrymmen</t>
  </si>
  <si>
    <t>Hantering och transport av skörd från fält till lager</t>
  </si>
  <si>
    <t>Utbildning, skatter, stöd, odling</t>
  </si>
  <si>
    <t>Bokslut</t>
  </si>
  <si>
    <t>Företagshälsovård</t>
  </si>
  <si>
    <t>Strategisk planering</t>
  </si>
  <si>
    <t>ALMÄNNA KOSTNADER, morotens andel</t>
  </si>
  <si>
    <t>Inköp av produktionsinsatser</t>
  </si>
  <si>
    <t>HYRESKOSTNADER ÅKER, morotens andel</t>
  </si>
  <si>
    <t>Personalledning</t>
  </si>
  <si>
    <t>Marknadsföring</t>
  </si>
  <si>
    <t>Arbetsmoment X</t>
  </si>
  <si>
    <t>Fasta kostnader, morotens andel</t>
  </si>
  <si>
    <t>SUMMA, H/HA</t>
  </si>
  <si>
    <t>LÅNGVARIGA PRODUKTIONSMEDEL</t>
  </si>
  <si>
    <t>PRODUTKIONSKOSTNADER</t>
  </si>
  <si>
    <t>kpl/ha</t>
  </si>
  <si>
    <t>Trädgård Y2</t>
  </si>
  <si>
    <t>Trädgård NK</t>
  </si>
  <si>
    <t>Salpeter</t>
  </si>
  <si>
    <t>Dolomitkalk utspridd (7 tn med fem års mellanrum)</t>
  </si>
  <si>
    <t>Fenix (ogräs)</t>
  </si>
  <si>
    <t>Stomp</t>
  </si>
  <si>
    <t>Serenade ASO (växtsjukdomar)</t>
  </si>
  <si>
    <t>Decis (skadedjur)</t>
  </si>
  <si>
    <t>Mycostop</t>
  </si>
  <si>
    <t>FÖRPACKNINGSMATERIAL</t>
  </si>
  <si>
    <t>1 kg påse</t>
  </si>
  <si>
    <t>0,25 kg knippe</t>
  </si>
  <si>
    <t>0,5 kg pussi</t>
  </si>
  <si>
    <t>10 kg säkki</t>
  </si>
  <si>
    <t>frakt X</t>
  </si>
  <si>
    <t>I tabellen nedan är arbetsanvändningen listad per år och uppdelad enligt arbetsmoment. Siffrorna baseras på en månatlig arbetstidsanvändningstabell, som du hittar i cell AE4 eller via länken nedan. Årstabellen hämtar arbetstimmarna från den månatliga tabellen, vars siffror du kan ändra. Du kan även justera enhetspriset för arbetet, det vill säga den blå cellen med priset i €/h. Enhetspriset inkluderar även sociala kostnader för lönearbete.</t>
  </si>
  <si>
    <t>Här kommer du till den månatliga arbetsanvändningstabellen</t>
  </si>
  <si>
    <t xml:space="preserve">Lönsamhetskalkylerna består först av inkomsterna. Därefter kommer utgifterna. Kalkylerna innehåller mycket bakgrundsinformation och bakgrundsuträkningar, dit du kommer genom att klicka på de understräckade delarna. </t>
  </si>
  <si>
    <t>semptember</t>
  </si>
  <si>
    <t xml:space="preserve">oktober </t>
  </si>
  <si>
    <t>LÖNSAMHET FÖR KONVENTIONELLT ODLAD KÅL</t>
  </si>
  <si>
    <t>Mottagning och skötsel av plantor</t>
  </si>
  <si>
    <t>€/kålareal</t>
  </si>
  <si>
    <t>Sådd</t>
  </si>
  <si>
    <t>Plantor</t>
  </si>
  <si>
    <t>Radrensning</t>
  </si>
  <si>
    <t>Avslutning</t>
  </si>
  <si>
    <t>Taimet</t>
  </si>
  <si>
    <t>ALMÄNNA KOSTNADER, kålens andel</t>
  </si>
  <si>
    <t>HYRESKOSTNADER ÅKER, kålens andel</t>
  </si>
  <si>
    <t>Fasta kostnader, kålens andel</t>
  </si>
  <si>
    <t>SKÖRDEÅRETS KOSTNADER</t>
  </si>
  <si>
    <t>FRÖ</t>
  </si>
  <si>
    <t>Trädgård Y3</t>
  </si>
  <si>
    <t>Devrinol (ogräs)</t>
  </si>
  <si>
    <t>Signum (sjukdomar)</t>
  </si>
  <si>
    <t>Mavrik (skadedjur)</t>
  </si>
  <si>
    <t>Butisan S (ogräs)</t>
  </si>
  <si>
    <t>Lagerlådssäck</t>
  </si>
  <si>
    <t>MASKINHYRA OXH ENTREPRENADTJÄNSTER</t>
  </si>
  <si>
    <t>Kalkylen för förkultivering av kålplantor har gjorts som en produktionskostnadskalkyl, där man fastställer ett "pris" för den egenproducerade plantan. Utgångspunkten för kalkylen är att plantor odlas för ett område på 10 hektar. För detta krävs ett förkultiveringsområde på 700 m². I kalkylen har man dock, för att göra den mer användbar, använt kostnad per 100 m² och per planta som enhet.
Förkultiveringstiden är cirka 4 veckor. Kalkylen innehåller inga försäljningsintäkter, eftersom utgångsläget är att plantorna används i egen produktion och inte säljs vidare. Kalkylen innehåller mycket bakgrundsinformation och underliggande beräkningar, som du kan komma åt genom att klicka på de understräckade delarna.</t>
  </si>
  <si>
    <t>PRODUKTIONSKOSTNAD AV KÅLPLANTOR</t>
  </si>
  <si>
    <t>€/100 m2</t>
  </si>
  <si>
    <t>€/planta</t>
  </si>
  <si>
    <t>€/odlingsareal</t>
  </si>
  <si>
    <t>Substrat</t>
  </si>
  <si>
    <t>IPM växtskydd</t>
  </si>
  <si>
    <t>BYGGNADER, MASKINER OCH LÅNGVARIGA FÖRNÖDENHET</t>
  </si>
  <si>
    <t>€/100m2</t>
  </si>
  <si>
    <t>PLANTPRODUKTIONSKOSTNADER</t>
  </si>
  <si>
    <t>KOSTNAD PER FÖRKULTIVERINGSOMRÅDE</t>
  </si>
  <si>
    <t>Frö, betat</t>
  </si>
  <si>
    <t>kpl/100 m2</t>
  </si>
  <si>
    <t>€/odlingareal</t>
  </si>
  <si>
    <t>SUBSTRAT</t>
  </si>
  <si>
    <t>Odlingstorv</t>
  </si>
  <si>
    <t>m3/100 m2</t>
  </si>
  <si>
    <t>€/m3</t>
  </si>
  <si>
    <t>Substrat X</t>
  </si>
  <si>
    <t>GÖDSEL</t>
  </si>
  <si>
    <t>Ferticare 10-52-17, 30 g/planta under hela odlingstiden</t>
  </si>
  <si>
    <t>kg/100 m2</t>
  </si>
  <si>
    <t>Gödsel X</t>
  </si>
  <si>
    <t>ENERGIKOSTNADER</t>
  </si>
  <si>
    <t>Varmluftsgenerator</t>
  </si>
  <si>
    <t>energi X</t>
  </si>
  <si>
    <t xml:space="preserve">I tabellen nedan är arbetsanvändningen listad per år och uppdelad enligt arbetsmoment. Du kan ändra arbetstimmarnas siffror. Du kan även justera enhetspriset för arbetet, </t>
  </si>
  <si>
    <t>det vill säga den blå cellen med priset i €/h. Enhetspriset inkluderar även sociala kostnader för lönearbete.</t>
  </si>
  <si>
    <t>Maskinell fyllning och sådd av odlingsbrickor</t>
  </si>
  <si>
    <t>h/odlingareal</t>
  </si>
  <si>
    <t>Flyttning av odlingsbrickor till växthus</t>
  </si>
  <si>
    <t xml:space="preserve">	Övervakning av växtbeståndet</t>
  </si>
  <si>
    <t>Avhärdning av plantor</t>
  </si>
  <si>
    <t>arbetsskede X</t>
  </si>
  <si>
    <t xml:space="preserve">BYGGNADER, MASKINER OCH LÅNGVARIGA FÖRNÖDENHET </t>
  </si>
  <si>
    <t>Byggnader, maskiner och långvariga tillbehör för plantuppfödning har, till skillnad från andra kalkyler, listats här eftersom dessa tillgångar används enbart i denna kalkyl, förkultivering av kålplantor. De tillgångar som används för plantuppfödning har specificerats för ett odlingsområde på 700 m².</t>
  </si>
  <si>
    <t>Beräkningsår</t>
  </si>
  <si>
    <t>Kultiveringssområde, m2</t>
  </si>
  <si>
    <t>Räntesats</t>
  </si>
  <si>
    <t>Försäkringskostnad</t>
  </si>
  <si>
    <t>BEHOV</t>
  </si>
  <si>
    <t>LIVSLÄNGD</t>
  </si>
  <si>
    <t>AVSKRIVNINGSKOSTNAD, €</t>
  </si>
  <si>
    <t>RÄNTEKOSTNAD, €</t>
  </si>
  <si>
    <t>REPARATIONS OCH UNDERHÅLLS KOSTNAD, €</t>
  </si>
  <si>
    <t>FÖRSÄKRINGSKOSTNAD, €</t>
  </si>
  <si>
    <t>Plantuppfödningsrum, bågväxthus</t>
  </si>
  <si>
    <t>Mypex på golvet</t>
  </si>
  <si>
    <t>Stryrox på golvet</t>
  </si>
  <si>
    <t>Plantek 144 D odlingsbricka</t>
  </si>
  <si>
    <t xml:space="preserve">	Fyllnings- och såmaskin</t>
  </si>
  <si>
    <t>Gödseldoserare</t>
  </si>
  <si>
    <t>Slangbevattningssystem</t>
  </si>
  <si>
    <t>Rullvagnar</t>
  </si>
  <si>
    <t>Förnödenhet X</t>
  </si>
  <si>
    <t>Ekonomin för användning av insektsnät har granskats med hjälp av kål. I beräkningen jämförs produktionslönsamheten mellan traditionell kemisk bekämpning och användning av insektsnät. Beräkningen hämtar siffrorna för traditionell kålproduktion från fliken 'Kål', som beskriver den traditionella odlingsmetoden med kemisk bekämpning. Under jämförelseberäkningen på denna sida finns en kalkyl för Kålsodling där insektsnät används.</t>
  </si>
  <si>
    <t xml:space="preserve">JÄMFÖRELSEBERÄKNING TRADITIONELL KEMISK BEKÄMPNING VS ANVÄNDNING AV INSEKTSNÄT </t>
  </si>
  <si>
    <t xml:space="preserve">Kål, kemisk bekämpning </t>
  </si>
  <si>
    <t xml:space="preserve">Kål, användning av insektsnät </t>
  </si>
  <si>
    <t>Montering och borttagning av insektsnät</t>
  </si>
  <si>
    <t>Hantering och transport av skörd från åker til lager</t>
  </si>
  <si>
    <t>ALLMÄNNA KOSTNADER, kålens andel</t>
  </si>
  <si>
    <t xml:space="preserve">Fasta kostnader, kålens andel </t>
  </si>
  <si>
    <t>MASKIN OCH UTRUSTNING</t>
  </si>
  <si>
    <t>PRODUKTIONSKOSTNAD</t>
  </si>
  <si>
    <t>LÖNSAMHET FÖR KONVENTIONELLT ODLAD KÅL MED ANVÄNDNING AV INSEKTSNÄT</t>
  </si>
  <si>
    <t>Yleiskustannukset</t>
  </si>
  <si>
    <t>Pellon vuokrakustannukset</t>
  </si>
  <si>
    <t>Rakennukset</t>
  </si>
  <si>
    <t>Koneet ja kalusto</t>
  </si>
  <si>
    <t>Pidempiaikaiset tuotantovälineet</t>
  </si>
  <si>
    <t>Salaojat</t>
  </si>
  <si>
    <t>Oman työn palkkavaatimus</t>
  </si>
  <si>
    <t>KOSTNADER SKÖRDEÅR</t>
  </si>
  <si>
    <t>Plantorna</t>
  </si>
  <si>
    <t>MASKINKOSTNADER OCH ENTREPRENADTJÄNSTER</t>
  </si>
  <si>
    <t>Radsrensning</t>
  </si>
  <si>
    <t>LÖNSAMHET FÖR KONVENTIONELLT ODLAD LÖK</t>
  </si>
  <si>
    <t>€/lökareal</t>
  </si>
  <si>
    <t xml:space="preserve">Plantering av sättlöken </t>
  </si>
  <si>
    <t>Istukkaat</t>
  </si>
  <si>
    <t>ALMÄNNA KOSTNADER, lökens andel</t>
  </si>
  <si>
    <t>HYREKOSTNADER ÅKER, lökens andel</t>
  </si>
  <si>
    <t>Fasta kostnader, lökens andel</t>
  </si>
  <si>
    <t>Hyreskostnader åker</t>
  </si>
  <si>
    <t xml:space="preserve">Försäkringar </t>
  </si>
  <si>
    <t>MÄNGD</t>
  </si>
  <si>
    <t>Fenix</t>
  </si>
  <si>
    <t>Lentagran</t>
  </si>
  <si>
    <t>Amistar</t>
  </si>
  <si>
    <t>Decis</t>
  </si>
  <si>
    <t>FÖRPACKNINGMATERIAL</t>
  </si>
  <si>
    <t xml:space="preserve">ENERGIKOSTNADER ETABLERINGSÅR </t>
  </si>
  <si>
    <t>LÖNSAMHET FÖR KONVENTIONELLT ODLAD SÄTTLÖK</t>
  </si>
  <si>
    <t>HYRESKOSTNADER ÅKER, lökens andel</t>
  </si>
  <si>
    <t xml:space="preserve">Fasta kostnader, lökens andel </t>
  </si>
  <si>
    <t>GÖDSEL  OCH KALK</t>
  </si>
  <si>
    <t>Växtskyddsprogrammet är vägledande, kontrollera godkända ämnen och arter från KemiDigi innan användning.'</t>
  </si>
  <si>
    <t>Stomp (ogräs före uppkomst)</t>
  </si>
  <si>
    <t>Lentagran (ogräs)</t>
  </si>
  <si>
    <t>Shirlan (bladmögel)</t>
  </si>
  <si>
    <t>I tabellen nedan är arbetsmomenten listade på årsbasis. Du kan ändra siffrorna gällande arbetsanvändningen i de blåa rutorna. Dessutom kan du ändra arbetets enhetspris.  Enhetspriset innehåller även sociala kostnader.</t>
  </si>
  <si>
    <t>Jorbearbetning, 2 ggr</t>
  </si>
  <si>
    <t>Övervakning av växtbeståndet</t>
  </si>
  <si>
    <t>Installation och underhåll av bevattningssystem</t>
  </si>
  <si>
    <t>Övervakning av bevattning</t>
  </si>
  <si>
    <t>Demontering av bevattningssystemet</t>
  </si>
  <si>
    <t>Lökuppdragning i strängar</t>
  </si>
  <si>
    <t>Lökuppdragning från marken</t>
  </si>
  <si>
    <t>TRÄDGÅRDSÄRT</t>
  </si>
  <si>
    <t>LÖNSAMHET FÖR KONVENTIONELLT ODLAD TRÄDGÅRDSÄRT</t>
  </si>
  <si>
    <t>€/ärtareal</t>
  </si>
  <si>
    <t>lösvikt</t>
  </si>
  <si>
    <t>förpackning x</t>
  </si>
  <si>
    <t>Siemenet</t>
  </si>
  <si>
    <t>ALMÄNNA KOSTNADER, ärtens andel</t>
  </si>
  <si>
    <t>HYREKOSTNADER ÅKER, ärtens andel</t>
  </si>
  <si>
    <t>Fasta kostnader, ärtens andel</t>
  </si>
  <si>
    <t>Ärt</t>
  </si>
  <si>
    <t>YaraMila HEVI3</t>
  </si>
  <si>
    <t>Basagran SG</t>
  </si>
  <si>
    <t>Decis Mega EW 50</t>
  </si>
  <si>
    <t>ämne x</t>
  </si>
  <si>
    <t>preparat x</t>
  </si>
  <si>
    <t>1 kg lösvikt, påsar</t>
  </si>
  <si>
    <t>förpackning  X</t>
  </si>
  <si>
    <t>Fräsning</t>
  </si>
  <si>
    <t>Gödsling, en gång</t>
  </si>
  <si>
    <t>Utläggning och borttagning av fiberduk</t>
  </si>
  <si>
    <t>arbetsmoment x</t>
  </si>
  <si>
    <t>LÖNSAMHET FÖR GRÖNSAK FRÅN FRÖ 1</t>
  </si>
  <si>
    <t>€/grönsaksareal</t>
  </si>
  <si>
    <t>ALMÄNNA KOSTNADER, grönsakens andel</t>
  </si>
  <si>
    <t>HYREKOSTNADER ÅKER, grönsakens andel</t>
  </si>
  <si>
    <t>Fasta kostnader, grönsakens andel</t>
  </si>
  <si>
    <t>Senkor SC100</t>
  </si>
  <si>
    <t>Sumi Alpha</t>
  </si>
  <si>
    <t>Gödsling, 3 ggr</t>
  </si>
  <si>
    <t>Penkinteko</t>
  </si>
  <si>
    <t>LÖNSAMHET FÖR GRÖNSAK FRÅN FRÖ 2</t>
  </si>
  <si>
    <t>Almänna kostnader</t>
  </si>
  <si>
    <t>Kupning</t>
  </si>
  <si>
    <t>LÖNSAMHET FÖR GRÖNSAK PLANTERAD 1</t>
  </si>
  <si>
    <t xml:space="preserve">Devrinol </t>
  </si>
  <si>
    <t>Mavrik</t>
  </si>
  <si>
    <t>MÄÄRÄ</t>
  </si>
  <si>
    <t>YKSIKKÖHINTA</t>
  </si>
  <si>
    <t>Fräsning, 2 ggr</t>
  </si>
  <si>
    <t xml:space="preserve"> LÖNSAMHET FÖR GRÖNSAK PLANTERAD 2</t>
  </si>
  <si>
    <t xml:space="preserve"> LÖNSAMHET FÖR GRÖNSAK PLANTERAD 3</t>
  </si>
  <si>
    <t xml:space="preserve">
Lönsamhetskalkylerna består först av inkomsterna. Därefter kommer utgifterna. Eftersom det är fråga om en flerårig växt som har olika år, etableringsår, skördeår och röjningsår. Kalkylmässigt får man ett representativt år genom att fördela kostnaderna för etablerings- och röjningsåret på skördeåret. Fördelningen görs t.ex. genom att fördela plantkostnaderna på antalet skördeår. I kalkylen nedan fördelas kostnaderna på etableringsåret, skördeåren och röjningsåret.  Kalkylerna innehåller mycket bakgrundsinformation och bakgrundsuträkningar, dit du kommer genom att klicka på de understräckade delarna.  Till exempel genom att klicka på etableringsårets kostnader kan du närmare se vilka dessa kostnader är. </t>
  </si>
  <si>
    <t>arbetstiden sammanlagt</t>
  </si>
  <si>
    <t>LÖNSAMHET FÖR FRILANDSJORDGUBBAR</t>
  </si>
  <si>
    <t>ETABLERINGSÅR</t>
  </si>
  <si>
    <t>Glyfosatbehandling under föregående höst</t>
  </si>
  <si>
    <t>Inköp av plantor och andra produktionsinsatser under föregående höst</t>
  </si>
  <si>
    <t>€/jordgubbsareal</t>
  </si>
  <si>
    <t>Stenplockning</t>
  </si>
  <si>
    <t>självplock</t>
  </si>
  <si>
    <t>Jorbearbetning</t>
  </si>
  <si>
    <t>låda</t>
  </si>
  <si>
    <t>Grundgödsling och grundkalkning</t>
  </si>
  <si>
    <t>Installation av bevattningssystem</t>
  </si>
  <si>
    <t>ask</t>
  </si>
  <si>
    <t>Imottagning och skötsel av plantorna</t>
  </si>
  <si>
    <t>Bänkläggning och plantering</t>
  </si>
  <si>
    <t>ETABLERINGSÅRETS KOSTNADER</t>
  </si>
  <si>
    <t xml:space="preserve">Sådd och skötsel av radmellanrums gräs </t>
  </si>
  <si>
    <t>Plantor och frön</t>
  </si>
  <si>
    <t>Höstservice av bevattningssystem</t>
  </si>
  <si>
    <t>Maskinhyra och entreprenad</t>
  </si>
  <si>
    <t>Ogräsrensning</t>
  </si>
  <si>
    <t>Anställd personal</t>
  </si>
  <si>
    <t>Borttagning av revor</t>
  </si>
  <si>
    <t>Vinterfiberduk borttagning</t>
  </si>
  <si>
    <t>Plantor och frö</t>
  </si>
  <si>
    <t>Pollinering</t>
  </si>
  <si>
    <t>Förpackningsmaterial</t>
  </si>
  <si>
    <t>Frakt av produkter</t>
  </si>
  <si>
    <t>SKÖRDEÅREN</t>
  </si>
  <si>
    <t>Borstning av växtbestondet</t>
  </si>
  <si>
    <t>Frostskydd</t>
  </si>
  <si>
    <t xml:space="preserve">Skötsel av radmellanrums gräs </t>
  </si>
  <si>
    <t>RÖJNINGSÅRETS KOSTNADER</t>
  </si>
  <si>
    <t xml:space="preserve">Vårservice av bevattningssystem </t>
  </si>
  <si>
    <t xml:space="preserve">GENOMSNITTLIGA ÅRSKOSTNADER FÖR HELA ODLINGSPERIODEN </t>
  </si>
  <si>
    <t>Försäljning av skörden</t>
  </si>
  <si>
    <t>ALMÄNNA KOSTNADERT, jordgubbens andel</t>
  </si>
  <si>
    <t>HYRESKOSTNADER ÅKER, jordgubbens andel</t>
  </si>
  <si>
    <t>RÖJNINGÅRET</t>
  </si>
  <si>
    <t>Fasta kostnader, jordgubbens andel</t>
  </si>
  <si>
    <t>Demontering av bevattningsutrustning</t>
  </si>
  <si>
    <t>Borttagning av plast</t>
  </si>
  <si>
    <t>Kyntö</t>
  </si>
  <si>
    <t>ETABLERINGSÅRETS PLANTOR OCH UTSÄDE</t>
  </si>
  <si>
    <t>OBERVERA</t>
  </si>
  <si>
    <t>Polka, A+ planta</t>
  </si>
  <si>
    <t xml:space="preserve">I dessa kalkyler fördelas etableringsårets kostnader på skördeåren. </t>
  </si>
  <si>
    <t>planta X</t>
  </si>
  <si>
    <t>Etableringsårets radmellanrums gräs</t>
  </si>
  <si>
    <t>frö X</t>
  </si>
  <si>
    <t>ETABLERINGSÅRETS GÖDSEL OCH KALK</t>
  </si>
  <si>
    <t>Trädgård PK</t>
  </si>
  <si>
    <t xml:space="preserve">Dolomitkalk utspritt </t>
  </si>
  <si>
    <t>ETABLERINGSÅRETS VÄXTSKYDD</t>
  </si>
  <si>
    <t>Glyfosat</t>
  </si>
  <si>
    <t>ETABLERINGSÅRETS MASKINHYRA OCH ENTREPRENADTJÄNSTER</t>
  </si>
  <si>
    <t>ETABLERINGSÅRETS ENERGIKOSTNADER</t>
  </si>
  <si>
    <t>ETABLERINGSÅRETS ARBETSINSATS</t>
  </si>
  <si>
    <t>I tabellen nedan listas arbetstiden per år enligt arbetsmoment i timmar per hektar (h/ha). Uppgifterna baseras på en månatlig arbetstidsfördelning som du hittar i cell AE4 eller via länken nedan. Årsöversikten hämtar arbetstimmarna från den månatliga tabellen, vars siffror du kan justera. Vissa arbetsmoment är uppdelade mellan odlarfamiljen och lönearbetskraft. Ett undantag är skörden, som till största delen utförs som ackordsplockning. Ackordsplockningen baseras på den producerade skördemängden. Som standard antas att 10 % av skörden plockas som lönearbete och resten genom ackordsarbete. I tabellen nedan kan du ändra enhetspriset för arbete, det vill säga den blå cellen med priset i €/timme. Enhetspriset inkluderar även sociala avgifter för avlönad arbetskraft.</t>
  </si>
  <si>
    <t>Sadonkorjuu urakkapoimintana</t>
  </si>
  <si>
    <t xml:space="preserve">SKÖRDEÅRETS KOSTNADER </t>
  </si>
  <si>
    <t xml:space="preserve">SKÖRDEÅRETS GÖDSEL OCH KALK </t>
  </si>
  <si>
    <t>Bevattningsgödsel 1</t>
  </si>
  <si>
    <t>Bevattningsgödsel 2</t>
  </si>
  <si>
    <t>SKÖRDEÅRETS IPM VÄXTSKYDD</t>
  </si>
  <si>
    <t>Decis Mega Ew 50</t>
  </si>
  <si>
    <t>Switch</t>
  </si>
  <si>
    <t>Signum</t>
  </si>
  <si>
    <t>Rovkvalster</t>
  </si>
  <si>
    <t>Kpl</t>
  </si>
  <si>
    <t>Prestop mix</t>
  </si>
  <si>
    <t>POLLINERING</t>
  </si>
  <si>
    <t>Pollineringstjänst</t>
  </si>
  <si>
    <t>bon</t>
  </si>
  <si>
    <t>€/bo</t>
  </si>
  <si>
    <t>SKÖRDEÅRETS PACKNINGSMATERIAL</t>
  </si>
  <si>
    <t>1 kg självplock</t>
  </si>
  <si>
    <t>5 kg låda</t>
  </si>
  <si>
    <t>3 kg bärkoppa</t>
  </si>
  <si>
    <t>0,5 kg ask</t>
  </si>
  <si>
    <t>0,25 kg ask</t>
  </si>
  <si>
    <t>SKÖRDEÅRETS FRAKTKOSTNADER</t>
  </si>
  <si>
    <t>SKÖRDEÅRETS MASKINHYRA OCH ENTREPRENAD</t>
  </si>
  <si>
    <t>SKÖRDEÅRETS ENERGIKOSTNADER</t>
  </si>
  <si>
    <t>Diesel 300km/10l/100km=300</t>
  </si>
  <si>
    <t>SKÖRDEÅRETS ARBETSINSATS</t>
  </si>
  <si>
    <t>YHTEENSÄ</t>
  </si>
  <si>
    <t xml:space="preserve">Röjningsåret liknar på många sätt skördeåren, förutom att det tillkommer kostnader för röjning och avslutning. Nedan beaktas endast dessa tilläggskostnader. </t>
  </si>
  <si>
    <t>RÖJNING IPM VÄXTSKYDD</t>
  </si>
  <si>
    <t>RÖJNINGSÅRETS MASKINHYRA OCH ENTREPRENADTJÄNSTER</t>
  </si>
  <si>
    <t>RÖJNINGSÅRETS ENERGIKOSTNADER</t>
  </si>
  <si>
    <t>RÖJNINGSÅRETS ARBETSINSATS</t>
  </si>
  <si>
    <t>LÖNSAMHET FÖR JORDGUBBE I TUNNEL</t>
  </si>
  <si>
    <t>Gödsel och substrat</t>
  </si>
  <si>
    <t>ALMÄNNA KOSTNADER, jordgubbens andel</t>
  </si>
  <si>
    <t>Pölytys</t>
  </si>
  <si>
    <t>TILL BÖRJAN AV SIDAN</t>
  </si>
  <si>
    <t>PLANTOR</t>
  </si>
  <si>
    <t>st/ha</t>
  </si>
  <si>
    <t>SKÖRDEÅRETS GÖDSEL OCH SUBSTRAT</t>
  </si>
  <si>
    <t>Odlingssäck</t>
  </si>
  <si>
    <t>substrat X</t>
  </si>
  <si>
    <t>SKÖRDEÅRETS MASKINHYRA OCH ENTREPRENADTJÄNSTER</t>
  </si>
  <si>
    <t xml:space="preserve">Diesel </t>
  </si>
  <si>
    <t>ENHETPRIS</t>
  </si>
  <si>
    <t>Plastutläggning</t>
  </si>
  <si>
    <t>Plastborttagning</t>
  </si>
  <si>
    <t>Utsättning av substrat</t>
  </si>
  <si>
    <t>Frostbekämpning</t>
  </si>
  <si>
    <t>Fiberduk utbredning</t>
  </si>
  <si>
    <t>Fiberduk borttagning</t>
  </si>
  <si>
    <t>Hantering och transport av skörd till lager</t>
  </si>
  <si>
    <t>Försäljning och transport av skörd tillk kund</t>
  </si>
  <si>
    <t>Installering och skötsel av bevattningsutrustning</t>
  </si>
  <si>
    <t>Borttagnng av plantor</t>
  </si>
  <si>
    <t>LÖNSAMHET FÖR FRILANDSHALLON</t>
  </si>
  <si>
    <t>€/hallonareal</t>
  </si>
  <si>
    <t xml:space="preserve">DE GENOMSNITTLIGA ÅRSKOSTNADERNA FÖR HELA ODLINGSPERIODEN </t>
  </si>
  <si>
    <t>ALLMÄNNA KOSTNADER, hallonens andel</t>
  </si>
  <si>
    <t>HYRESKOSTNADER ÅKER, hallonens andel</t>
  </si>
  <si>
    <t>Fasta kostnader, hallonens andel</t>
  </si>
  <si>
    <t>Hallon planta</t>
  </si>
  <si>
    <t>Etablerings- och röjningsårets kostnader fördelas på skördeåren.</t>
  </si>
  <si>
    <t>ETABLERINGSÅRETS GÖDSEL OCH MARKFÖRBÄTTRING</t>
  </si>
  <si>
    <t>Torv</t>
  </si>
  <si>
    <t>m3</t>
  </si>
  <si>
    <t>ETABLERINGSÅRETS IPM VÄXTSKYDD</t>
  </si>
  <si>
    <t>GlyfosaT</t>
  </si>
  <si>
    <t>ETABLERINGSÅRETS ARBETSTID</t>
  </si>
  <si>
    <t>Harvning</t>
  </si>
  <si>
    <t>Utbredning av torv</t>
  </si>
  <si>
    <t>Bänkläggning, utbredning av duk, installering av droppbevattning</t>
  </si>
  <si>
    <t>Jämning av radmellanrum och sådd av gräs</t>
  </si>
  <si>
    <t>SKÖRDEÅRETS GÖDSEL</t>
  </si>
  <si>
    <t>Bevattningsgödsel</t>
  </si>
  <si>
    <t>Teldor</t>
  </si>
  <si>
    <t>Traktorbrännolja</t>
  </si>
  <si>
    <t>Smörjmedel</t>
  </si>
  <si>
    <t>SKÖRDEÅRETS ARBETSTID</t>
  </si>
  <si>
    <t>Ogräsrensing</t>
  </si>
  <si>
    <t>Hantering och transport av skörd</t>
  </si>
  <si>
    <t>Försäljning och transport av skörd</t>
  </si>
  <si>
    <t>Skötsel av bevattningsutrustning</t>
  </si>
  <si>
    <t>Beskärning</t>
  </si>
  <si>
    <t>Stöd och band</t>
  </si>
  <si>
    <t>RÖJNINGSÅRETS IPM VÄXTSKYDD</t>
  </si>
  <si>
    <t>Prestop Mix</t>
  </si>
  <si>
    <t>Krossning av växtlighet</t>
  </si>
  <si>
    <t>EL</t>
  </si>
  <si>
    <t>Traktorbränsle</t>
  </si>
  <si>
    <t xml:space="preserve">I tabellen nedan är arbetsmomenten listade på årsbasis. Du kan ändra siffrorna gällande arbetsanvändningen i de blåa rutorna. Dessutom kan du ändra arbetets enhetspris. Enhetspriset innehåller även sociala kostnader. </t>
  </si>
  <si>
    <t>Rivning av stöd</t>
  </si>
  <si>
    <t xml:space="preserve">Lönsamhetskalkylerna består först av inkomsterna. Därefter kommer utgifterna. Eftersom det är fråga om en flerårig växt som har olika år, etableringsår, skördeår och röjningsår. Kalkylmässigt får man ett representativt år genom att fördela kostnaderna för etablerings- och röjningsåret på skördeåret. Fördelningen görs t.ex. genom att fördela plantkostnaderna på antalet skördeår. I kalkylen nedan fördelas kostnaderna på etableringsåret, skördeåren och röjningsåret.  Kalkylerna innehåller mycket bakgrundsinformation och bakgrundsuträkningar, dit du kommer genom att klicka på de understräckade delarna.  Till exempel genom att klicka på etableringsårets kostnader kan du närmare se vilka dessa kostnader är. </t>
  </si>
  <si>
    <t>LÖNSAMHET FÖR TUNNELHALLON</t>
  </si>
  <si>
    <t xml:space="preserve">ALLMÄNNA, hallonens andel </t>
  </si>
  <si>
    <t>KONEET JA KALUSTO</t>
  </si>
  <si>
    <t>Hallon plantor</t>
  </si>
  <si>
    <t>SKÖRDEÅRENS SUBSTRAT OCH GÖDSEL</t>
  </si>
  <si>
    <t>Krukor</t>
  </si>
  <si>
    <t>SKÖRDEÅRENS IPM VÄXTSKYDD</t>
  </si>
  <si>
    <t>SKÖRDEÅRENS PACKNINGSMATERIAL</t>
  </si>
  <si>
    <t>1 kg ask</t>
  </si>
  <si>
    <t>SKÖRDEÅRENS FRAKT FÖR PRODUKTER</t>
  </si>
  <si>
    <t>SKÖRDEÅRENS MASKINHYRA OCH ENTREPRENADTJÄNSTER</t>
  </si>
  <si>
    <t>SKÖRDEÅRENS ENERGIKOSTNADER</t>
  </si>
  <si>
    <t>SKÖRDEÅRENS ARBETSINSATS</t>
  </si>
  <si>
    <t>Fyllning av krukor</t>
  </si>
  <si>
    <t>LÖNSAMHET FÖR SVARTA VINBÄR</t>
  </si>
  <si>
    <t>INKOMSTER</t>
  </si>
  <si>
    <t>€/svartavinbärsareal</t>
  </si>
  <si>
    <t>IPM Växtskudd</t>
  </si>
  <si>
    <t>ALLMÄNNA KOSTNADER, svarta vinbärets andel</t>
  </si>
  <si>
    <t>HYRESKOSTNADER ÅKER, svarta vinbärens andel</t>
  </si>
  <si>
    <t>Fasta kostnader, svarta vinbärens andel</t>
  </si>
  <si>
    <t>FÖRODLINGSÅRETS KOSTNADER</t>
  </si>
  <si>
    <t>Plantor vinbär</t>
  </si>
  <si>
    <t>Etableringssårets kostnader fördelas på skördeåren.</t>
  </si>
  <si>
    <t>plantor X</t>
  </si>
  <si>
    <t>Etableringsårets gräsfrö för radmellanrum</t>
  </si>
  <si>
    <t>Dolomitkalk utspritt</t>
  </si>
  <si>
    <t>ETABLERINSÅRETS IPM VÄXTSKYDD</t>
  </si>
  <si>
    <t>ETABLERINGSÅRETS MASKINHYRA OCH ENTREPRENAD</t>
  </si>
  <si>
    <t>ETABLERINSÅRETS ARBETSINSATS</t>
  </si>
  <si>
    <t>Torvutbredning</t>
  </si>
  <si>
    <t>TILL SIDAN BÖRJAN</t>
  </si>
  <si>
    <t>FÖRODLINGSÅRETS PLANTOR OCH UTSÄDE</t>
  </si>
  <si>
    <t>Fyllningsplantor</t>
  </si>
  <si>
    <t>I kalkylen fördelas etableringsårets kostnader med skördeåren.</t>
  </si>
  <si>
    <t>Fyllningsfrön</t>
  </si>
  <si>
    <t>FÖRODLINGSÅRETS GÖDSEL</t>
  </si>
  <si>
    <t>Puutarha Y2</t>
  </si>
  <si>
    <t>Peltokalkkisalpietari</t>
  </si>
  <si>
    <t>lannoite X</t>
  </si>
  <si>
    <t>FÖRODLINGSÅRETS VÄXTSKYDD</t>
  </si>
  <si>
    <t>Gallery</t>
  </si>
  <si>
    <t>FÖRODLINGSÅRETS MASKINHYRA OCH ENTREPRENAD</t>
  </si>
  <si>
    <t>FÖRODLINGSÅRETS ENERGIKOSTNADER</t>
  </si>
  <si>
    <t>FÖRODLINGSÅRETS ARBETSINSATS</t>
  </si>
  <si>
    <t>Tilläggsplantering</t>
  </si>
  <si>
    <t>Reparationssådd</t>
  </si>
  <si>
    <t>SKÖRDEÅRENS GÖDSEL</t>
  </si>
  <si>
    <t>Candit</t>
  </si>
  <si>
    <t>1 kg låda cirkulerbar</t>
  </si>
  <si>
    <t>SKÖRDEÅRENS FRAKTKOSTNADER FÖR PRODUKTER</t>
  </si>
  <si>
    <t>Fraktkostnad</t>
  </si>
  <si>
    <t xml:space="preserve">Röjningsåret liknar på många sätt skördeåren förutom att det tillkommer kostnader för röjning och avslutning. Nedan beaktas endast dessa tilläggskostnader. </t>
  </si>
  <si>
    <t>HEKTARKOSTNADER</t>
  </si>
  <si>
    <t>LÖNSAMHET FÖR BUSKBLÅBÄR</t>
  </si>
  <si>
    <t>€/buskblåbärsareal</t>
  </si>
  <si>
    <t>FÖRODLINGÅRETS KOSTNADER</t>
  </si>
  <si>
    <t>ALLMÄNNA KOSTNADER, buskblåbärens andel</t>
  </si>
  <si>
    <t>HYRESKOSTNADER ÅKER, buskblåbärens andel</t>
  </si>
  <si>
    <t>Rörligakostnader sammanlagt</t>
  </si>
  <si>
    <t>Fasta kostnader, buskblåbärens andel</t>
  </si>
  <si>
    <t>Plantor buskblåbär</t>
  </si>
  <si>
    <t>I kalkylen fördelas etableringsårets kostnader på skördeåren</t>
  </si>
  <si>
    <t>Etablerinsårets radmellanrums gräsfrö</t>
  </si>
  <si>
    <t>Ogråsrensning</t>
  </si>
  <si>
    <t>FÖRODLINGSÅRENS KOSTNADER</t>
  </si>
  <si>
    <t>FÖRDOLINGSÅRETS PLANTOR OCH FRÖN</t>
  </si>
  <si>
    <t>Tilläggsplantor</t>
  </si>
  <si>
    <t>Tilläggsfrön</t>
  </si>
  <si>
    <t>FÖRODLINGSÅRETS IPM VÄXTSKYDD</t>
  </si>
  <si>
    <t>FÖRODLINGSÅRENS POLLINERING</t>
  </si>
  <si>
    <t>FÖRODLINGSÅRENS PACKNINGSMATERIAL</t>
  </si>
  <si>
    <t>FÖRODLINGSÅRENS FRAKTKOSTNADER FÖR PRODUKTER</t>
  </si>
  <si>
    <t>FÖRODLINGSÅRETS MASKINHYRA OCH ENTREPRENADTJÄNSTER</t>
  </si>
  <si>
    <t>FÖRODLINGSÅRENS ARBETSINSATS</t>
  </si>
  <si>
    <t>Tilläggssådd av gräs</t>
  </si>
  <si>
    <t>Underhåll av bevattningsutrustning</t>
  </si>
  <si>
    <t>SKÖRDEÅRETS FRAKTKOSTNADER FÖR PRODUKTER</t>
  </si>
  <si>
    <t>Alla olevassa taulukossa työnkäyttö on listattu vuositasolla työvaiheittain. Voit muuttaa sinisten ruutujen arvoja työnkäytöstä. Lisäksi voi muuttaa työn yksikköhintaa. Yksikköhinta sisältää myös sosiaalikulut palkkatyön osalta.</t>
  </si>
  <si>
    <t>LÖNSAMHET FÖR ÄPPLE</t>
  </si>
  <si>
    <t>€/äppelareal</t>
  </si>
  <si>
    <t>FÖRODLINGS KOSTNADER</t>
  </si>
  <si>
    <t>ALLMÄNNA KOSTNADER, äppelns andel</t>
  </si>
  <si>
    <t>HYRESKOSTNADER ÅKER, äppelns andel</t>
  </si>
  <si>
    <t>Fasta kostnader, äpplets andel</t>
  </si>
  <si>
    <t>LÅNGVARGA PRODUKTIONSMEDEL</t>
  </si>
  <si>
    <t>FÖRODLINGSÅRETS  KOSTNADER</t>
  </si>
  <si>
    <t xml:space="preserve"> </t>
  </si>
  <si>
    <t>Plantor äpple</t>
  </si>
  <si>
    <t>Etaberlingsårets radmellanrums gräs</t>
  </si>
  <si>
    <t>ETABLERINGSÅRETS GÖDSEL, KALK OCH MARKFÖRBÄTTRING</t>
  </si>
  <si>
    <t>Trädgård Y1</t>
  </si>
  <si>
    <t>Åsplogning och utjämning</t>
  </si>
  <si>
    <t>Planteringsbeskärning</t>
  </si>
  <si>
    <t>Utjämning av radmellanrum och grässådd</t>
  </si>
  <si>
    <t>Staketbygge (harar)</t>
  </si>
  <si>
    <t>Övervakning av bevttning</t>
  </si>
  <si>
    <t>FÖRODLINGENS KOSTNADER</t>
  </si>
  <si>
    <t>FÖRODLINGSÅRETS PLANTOR OCH FRÖ</t>
  </si>
  <si>
    <t>Tilläggsgräsfrö</t>
  </si>
  <si>
    <t>FÖRODLINGSÅRETS PACKNINGSMATERIAL</t>
  </si>
  <si>
    <t>1 kg lösvikt</t>
  </si>
  <si>
    <t>3 kg påse</t>
  </si>
  <si>
    <t>10 kg låda</t>
  </si>
  <si>
    <t>Tilläggs sådd av gräs</t>
  </si>
  <si>
    <t>Böjning</t>
  </si>
  <si>
    <t>Service av bevattningsutrustning</t>
  </si>
  <si>
    <t>Försäljningn och transport av skörd</t>
  </si>
  <si>
    <t>Madex</t>
  </si>
  <si>
    <t>SKÖRDEÅRETS PACKNINGMATERIAL</t>
  </si>
  <si>
    <t>Plock och destruering av kvistar</t>
  </si>
  <si>
    <t>RÖJNINGSÅRETS MASKINHYRA OCH ENTREPRENAS</t>
  </si>
  <si>
    <t>LÖNSAMHET HAVRE</t>
  </si>
  <si>
    <t>€/havreareal</t>
  </si>
  <si>
    <t>Rörliga Kostnader</t>
  </si>
  <si>
    <t xml:space="preserve">Anställd arbetskraft </t>
  </si>
  <si>
    <t>ALLMÄNNA KOSTNADER, havrens andel</t>
  </si>
  <si>
    <t>HYREKOSTNADER ÅKER, havrens andel</t>
  </si>
  <si>
    <t>Fasta kostnader, havrens andel</t>
  </si>
  <si>
    <t>SALAOJAT</t>
  </si>
  <si>
    <t>PRODUKTONSKOSTNADER</t>
  </si>
  <si>
    <t>Frö X</t>
  </si>
  <si>
    <t>Yara Mila Y20</t>
  </si>
  <si>
    <t>Mixin</t>
  </si>
  <si>
    <t>Nuance</t>
  </si>
  <si>
    <t>Medax Max</t>
  </si>
  <si>
    <t>Entreprenadskörd</t>
  </si>
  <si>
    <t>Entreprenadtorkning</t>
  </si>
  <si>
    <t xml:space="preserve">ETABLERINGSÅRETS ENERGIKOSTNADER </t>
  </si>
  <si>
    <t>Harvning 2 ggr</t>
  </si>
  <si>
    <t>Växttskydd</t>
  </si>
  <si>
    <t>LÖNSAMHET KORN</t>
  </si>
  <si>
    <t>€/kornareal</t>
  </si>
  <si>
    <t>ALLMÄNNA KOSTNADER, kornets andel</t>
  </si>
  <si>
    <t>HYRESKOSTNADER ÅKER, kornets andel</t>
  </si>
  <si>
    <t>Fasta kostnader, kornets andel</t>
  </si>
  <si>
    <t>MAKSINER OCH UTRUSTNING</t>
  </si>
  <si>
    <t xml:space="preserve"> ENHETSPRIS</t>
  </si>
  <si>
    <t>LÖNSAMHET VETE</t>
  </si>
  <si>
    <t>€/veteareal</t>
  </si>
  <si>
    <t>ALLMÄNNA KOSTNADER, vetets andel</t>
  </si>
  <si>
    <t>HYRESKOSTNADER ÅKER, vetets andel</t>
  </si>
  <si>
    <t>Fasta kostnader, vetets andel</t>
  </si>
  <si>
    <t>LÖNSAMHET HÖSTRÅG</t>
  </si>
  <si>
    <t>€/rågareal</t>
  </si>
  <si>
    <t>ALLMÄNNA KOSTNADER, rågets andel</t>
  </si>
  <si>
    <t>HYRESKOSTNADER ÅKER, rågets andel</t>
  </si>
  <si>
    <t>Maskinhyra</t>
  </si>
  <si>
    <t>Fasta kostnader, höstrågens andel</t>
  </si>
  <si>
    <t>Anställd arbete</t>
  </si>
  <si>
    <t>Åkerns arrende</t>
  </si>
  <si>
    <t>Eget arbete</t>
  </si>
  <si>
    <t>LÅNGVARIGA PRODUKTIONMEDEL</t>
  </si>
  <si>
    <t>Hybridiruis</t>
  </si>
  <si>
    <t>ANTAÖ</t>
  </si>
  <si>
    <t>LÖNSAMHET NATURVÅRDSÅKER</t>
  </si>
  <si>
    <t>€/naturvårdsåker</t>
  </si>
  <si>
    <t xml:space="preserve">ALLMÄNNA KOSTNADER, naturvårdsåkerns andel </t>
  </si>
  <si>
    <t>HYRESKOSTNADER ÅKER, naturvårdsåkerns andel</t>
  </si>
  <si>
    <t>Fasta kostnader, naturvårdsåkerns andel</t>
  </si>
  <si>
    <t>Timotei</t>
  </si>
  <si>
    <t xml:space="preserve">IPM VÄXTSKYDD  </t>
  </si>
  <si>
    <t>Krossning</t>
  </si>
  <si>
    <t>VALLENS LÖNSAMHET</t>
  </si>
  <si>
    <t>€/vallareal</t>
  </si>
  <si>
    <t>ALLMÄNNA KOSTNADER, vallens andel</t>
  </si>
  <si>
    <t>HYRESKOSTNADER, vallens andel</t>
  </si>
  <si>
    <t>Fasta kostnader, vallens andel</t>
  </si>
  <si>
    <t>HEKTARSKOSTNAD</t>
  </si>
  <si>
    <t>KOSTNADER SOM UPPKOMMER FRÅN EGENDOMEN</t>
  </si>
  <si>
    <t>Räkneår</t>
  </si>
  <si>
    <t>Ränteprocent</t>
  </si>
  <si>
    <t>Årsmodell</t>
  </si>
  <si>
    <t>Livslängd, år</t>
  </si>
  <si>
    <t>Inköpsvärde, €</t>
  </si>
  <si>
    <t>Restvärde, €</t>
  </si>
  <si>
    <t>Reparations- och underhålls-%</t>
  </si>
  <si>
    <t>ANVÄNDNINGSANDEL, %. Enligt denna procent fördelas avskrivning, ränta, underhåll  och försäkringskostnader växtspecifikt i förhållande till odlingsarealen. Värdet kan vid behov ändras.</t>
  </si>
  <si>
    <t>OBS!</t>
  </si>
  <si>
    <t xml:space="preserve">AVSKRIVNINGSKOSTNADER, €. Avskrivningen räknas som jämn avskrivning. Ifall maskinen är äldre än användingstiden uppstår inte avskrivnings- och räntekostnader. </t>
  </si>
  <si>
    <t xml:space="preserve">RÄNTEKOSTNADER, €. Ifall maskinen är äldre än användingstiden uppstår inte avskrivnings- och räntekostnader. </t>
  </si>
  <si>
    <t xml:space="preserve">SERVICE- OCH UNDERHÅLLSKOSTNADER, €. Denna kostnad räknas förenklat ut som en procent av inköpspriset. </t>
  </si>
  <si>
    <t xml:space="preserve">FÖRSÄKRINGSKOSTNAD, €. Denna kostnad räknas förenklat ut som en procent av inköpspriset. </t>
  </si>
  <si>
    <t>GRÖNSAK FRÖ 1</t>
  </si>
  <si>
    <t>GRÖNSAK FRÖ 2</t>
  </si>
  <si>
    <t>Summan ska vara 100 eller 0, om det finns information på raden</t>
  </si>
  <si>
    <t>NATURVÅRDSÅKERN</t>
  </si>
  <si>
    <t>VETEE</t>
  </si>
  <si>
    <t>Enhetspris</t>
  </si>
  <si>
    <t>Antal</t>
  </si>
  <si>
    <t>Inköprsvärde, €</t>
  </si>
  <si>
    <t>Puutarhatuotteiden varastolaatikoita</t>
  </si>
  <si>
    <t>Perunan varastolaatikoita</t>
  </si>
  <si>
    <t>Pumppukärrry</t>
  </si>
  <si>
    <t>Hyönteisverkko kaalille</t>
  </si>
  <si>
    <t>För täckdiken räknas inga försäkringskostnader</t>
  </si>
  <si>
    <t>Vailkkorakenne</t>
  </si>
  <si>
    <t>STÖDOMRÅDE</t>
  </si>
  <si>
    <t>Stöd i användning, välj</t>
  </si>
  <si>
    <t>Areal där stödet används</t>
  </si>
  <si>
    <t>Ja</t>
  </si>
  <si>
    <t>STÖD 2025</t>
  </si>
  <si>
    <t>C</t>
  </si>
  <si>
    <t>Annat område</t>
  </si>
  <si>
    <t>Nej</t>
  </si>
  <si>
    <t>Grundläggande inkomststöd</t>
  </si>
  <si>
    <t>LFA-stöd</t>
  </si>
  <si>
    <t>Omfördelningsinkomststöd</t>
  </si>
  <si>
    <t>Miljöersättning för odling av åkergrödor</t>
  </si>
  <si>
    <t>Miljöersättning för trädgårdsväxter och kummin</t>
  </si>
  <si>
    <t>Alternativa växtskyddsmetoder för trädgårdsväxter</t>
  </si>
  <si>
    <t>Stöd för miljösystem: växttäcke vintertid</t>
  </si>
  <si>
    <t>SUMMA, åkergrödor</t>
  </si>
  <si>
    <t>SUMMA, trädgårdsväxter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</si>
</sst>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
  </numFmts>
  <fonts count="108" x14ac:knownFonts="1">
    <font>
      <sz val="10"/>
      <name val="Arial"/>
    </font>
    <font>
      <sz val="10"/>
      <name val="Arial"/>
      <family val="2"/>
    </font>
    <font>
      <sz val="8"/>
      <name val="Arial"/>
      <family val="2"/>
    </font>
    <font>
      <b/>
      <sz val="10"/>
      <name val="Arial"/>
      <family val="2"/>
    </font>
    <font>
      <i/>
      <sz val="10"/>
      <name val="Arial"/>
      <family val="2"/>
    </font>
    <font>
      <b/>
      <sz val="12"/>
      <name val="Arial"/>
      <family val="2"/>
    </font>
    <font>
      <b/>
      <sz val="16"/>
      <name val="Arial"/>
      <family val="2"/>
    </font>
    <font>
      <b/>
      <i/>
      <sz val="10"/>
      <name val="Arial"/>
      <family val="2"/>
    </font>
    <font>
      <sz val="10"/>
      <color indexed="8"/>
      <name val="Arial"/>
      <family val="2"/>
    </font>
    <font>
      <u/>
      <sz val="10"/>
      <color theme="10"/>
      <name val="Arial"/>
      <family val="2"/>
    </font>
    <font>
      <sz val="10"/>
      <color theme="1"/>
      <name val="Arial"/>
      <family val="2"/>
    </font>
    <font>
      <sz val="10"/>
      <color rgb="FFFF0000"/>
      <name val="Arial"/>
      <family val="2"/>
    </font>
    <font>
      <b/>
      <sz val="10"/>
      <color rgb="FFC00000"/>
      <name val="Arial"/>
      <family val="2"/>
    </font>
    <font>
      <sz val="10"/>
      <color rgb="FFC00000"/>
      <name val="Arial"/>
      <family val="2"/>
    </font>
    <font>
      <i/>
      <sz val="10"/>
      <color rgb="FFC00000"/>
      <name val="Arial"/>
      <family val="2"/>
    </font>
    <font>
      <b/>
      <sz val="12"/>
      <color theme="1"/>
      <name val="Arial"/>
      <family val="2"/>
    </font>
    <font>
      <sz val="12"/>
      <color theme="1"/>
      <name val="Arial"/>
      <family val="2"/>
    </font>
    <font>
      <b/>
      <sz val="16"/>
      <color theme="1"/>
      <name val="Arial"/>
      <family val="2"/>
    </font>
    <font>
      <sz val="12"/>
      <name val="Arial"/>
      <family val="2"/>
    </font>
    <font>
      <sz val="14"/>
      <name val="Arial"/>
      <family val="2"/>
    </font>
    <font>
      <b/>
      <sz val="14"/>
      <name val="Arial"/>
      <family val="2"/>
    </font>
    <font>
      <sz val="10"/>
      <color theme="5" tint="0.39997558519241921"/>
      <name val="Arial"/>
      <family val="2"/>
    </font>
    <font>
      <sz val="14"/>
      <color theme="1"/>
      <name val="Arial"/>
      <family val="2"/>
    </font>
    <font>
      <b/>
      <sz val="14"/>
      <color theme="1"/>
      <name val="Arial"/>
      <family val="2"/>
    </font>
    <font>
      <u/>
      <sz val="14"/>
      <color theme="10"/>
      <name val="Arial"/>
      <family val="2"/>
    </font>
    <font>
      <u/>
      <sz val="14"/>
      <color theme="1"/>
      <name val="Arial"/>
      <family val="2"/>
    </font>
    <font>
      <u/>
      <sz val="12"/>
      <color theme="10"/>
      <name val="Arial"/>
      <family val="2"/>
    </font>
    <font>
      <b/>
      <sz val="20"/>
      <name val="Arial"/>
      <family val="2"/>
    </font>
    <font>
      <sz val="10"/>
      <color rgb="FF000000"/>
      <name val="Arial"/>
      <family val="2"/>
    </font>
    <font>
      <sz val="16"/>
      <name val="Arial"/>
      <family val="2"/>
    </font>
    <font>
      <sz val="10"/>
      <color theme="0" tint="-0.14999847407452621"/>
      <name val="Arial"/>
      <family val="2"/>
    </font>
    <font>
      <b/>
      <sz val="18"/>
      <color theme="1"/>
      <name val="Arial"/>
      <family val="2"/>
    </font>
    <font>
      <i/>
      <sz val="14"/>
      <name val="Arial"/>
      <family val="2"/>
    </font>
    <font>
      <sz val="14"/>
      <color rgb="FFFF0000"/>
      <name val="Arial"/>
      <family val="2"/>
    </font>
    <font>
      <vertAlign val="superscript"/>
      <sz val="14"/>
      <name val="Arial"/>
      <family val="2"/>
    </font>
    <font>
      <sz val="14"/>
      <color rgb="FF00B050"/>
      <name val="Arial"/>
      <family val="2"/>
    </font>
    <font>
      <i/>
      <sz val="14"/>
      <color theme="1"/>
      <name val="Arial"/>
      <family val="2"/>
    </font>
    <font>
      <i/>
      <sz val="10"/>
      <color theme="1"/>
      <name val="Arial"/>
      <family val="2"/>
    </font>
    <font>
      <i/>
      <sz val="12"/>
      <color theme="1"/>
      <name val="Arial"/>
      <family val="2"/>
    </font>
    <font>
      <i/>
      <sz val="12"/>
      <name val="Arial"/>
      <family val="2"/>
    </font>
    <font>
      <i/>
      <sz val="10"/>
      <color theme="5" tint="0.39997558519241921"/>
      <name val="Arial"/>
      <family val="2"/>
    </font>
    <font>
      <i/>
      <sz val="10"/>
      <color rgb="FF000000"/>
      <name val="Arial"/>
      <family val="2"/>
    </font>
    <font>
      <b/>
      <i/>
      <sz val="12"/>
      <color theme="1"/>
      <name val="Arial"/>
      <family val="2"/>
    </font>
    <font>
      <b/>
      <i/>
      <sz val="12"/>
      <name val="Arial"/>
      <family val="2"/>
    </font>
    <font>
      <b/>
      <sz val="18"/>
      <color rgb="FF0070C0"/>
      <name val="Arial"/>
      <family val="2"/>
    </font>
    <font>
      <b/>
      <sz val="16"/>
      <color rgb="FF0070C0"/>
      <name val="Arial"/>
      <family val="2"/>
    </font>
    <font>
      <b/>
      <sz val="14"/>
      <color rgb="FF0070C0"/>
      <name val="Arial"/>
      <family val="2"/>
    </font>
    <font>
      <b/>
      <i/>
      <sz val="16"/>
      <color rgb="FF0070C0"/>
      <name val="Arial"/>
      <family val="2"/>
    </font>
    <font>
      <b/>
      <i/>
      <sz val="14"/>
      <color rgb="FF0070C0"/>
      <name val="Arial"/>
      <family val="2"/>
    </font>
    <font>
      <sz val="10"/>
      <color rgb="FF0070C0"/>
      <name val="Arial"/>
      <family val="2"/>
    </font>
    <font>
      <sz val="14"/>
      <color theme="0"/>
      <name val="Arial"/>
      <family val="2"/>
    </font>
    <font>
      <sz val="12"/>
      <color rgb="FFFF0000"/>
      <name val="Arial"/>
      <family val="2"/>
    </font>
    <font>
      <b/>
      <sz val="12"/>
      <color rgb="FFFF0000"/>
      <name val="Arial"/>
      <family val="2"/>
    </font>
    <font>
      <sz val="10"/>
      <color theme="0" tint="-4.9989318521683403E-2"/>
      <name val="Arial"/>
      <family val="2"/>
    </font>
    <font>
      <sz val="12"/>
      <color theme="0" tint="-4.9989318521683403E-2"/>
      <name val="Arial"/>
      <family val="2"/>
    </font>
    <font>
      <i/>
      <sz val="12"/>
      <color theme="0" tint="-4.9989318521683403E-2"/>
      <name val="Arial"/>
      <family val="2"/>
    </font>
    <font>
      <b/>
      <sz val="10"/>
      <color theme="1"/>
      <name val="Arial"/>
      <family val="2"/>
    </font>
    <font>
      <b/>
      <sz val="10"/>
      <color theme="0"/>
      <name val="Arial"/>
      <family val="2"/>
    </font>
    <font>
      <u/>
      <sz val="14"/>
      <name val="Arial"/>
      <family val="2"/>
    </font>
    <font>
      <sz val="14"/>
      <color theme="0" tint="-4.9989318521683403E-2"/>
      <name val="Arial"/>
      <family val="2"/>
    </font>
    <font>
      <i/>
      <sz val="10"/>
      <color indexed="8"/>
      <name val="Arial"/>
      <family val="2"/>
    </font>
    <font>
      <u/>
      <sz val="12"/>
      <color theme="1"/>
      <name val="Arial"/>
      <family val="2"/>
    </font>
    <font>
      <b/>
      <sz val="18"/>
      <color theme="0"/>
      <name val="Arial"/>
      <family val="2"/>
    </font>
    <font>
      <i/>
      <sz val="10"/>
      <color theme="0" tint="-4.9989318521683403E-2"/>
      <name val="Arial"/>
      <family val="2"/>
    </font>
    <font>
      <vertAlign val="superscript"/>
      <sz val="14"/>
      <color rgb="FF00B050"/>
      <name val="Arial"/>
      <family val="2"/>
    </font>
    <font>
      <sz val="10"/>
      <color rgb="FF00B050"/>
      <name val="Arial"/>
      <family val="2"/>
    </font>
    <font>
      <u/>
      <sz val="16"/>
      <color theme="1"/>
      <name val="Arial"/>
      <family val="2"/>
    </font>
    <font>
      <sz val="10"/>
      <color theme="2" tint="-0.499984740745262"/>
      <name val="Arial"/>
      <family val="2"/>
    </font>
    <font>
      <sz val="14"/>
      <color theme="2" tint="-0.499984740745262"/>
      <name val="Arial"/>
      <family val="2"/>
    </font>
    <font>
      <sz val="12"/>
      <color theme="2" tint="-0.499984740745262"/>
      <name val="Arial"/>
      <family val="2"/>
    </font>
    <font>
      <i/>
      <sz val="12"/>
      <color theme="2" tint="-0.499984740745262"/>
      <name val="Arial"/>
      <family val="2"/>
    </font>
    <font>
      <sz val="10"/>
      <color theme="2" tint="-0.249977111117893"/>
      <name val="Arial"/>
      <family val="2"/>
    </font>
    <font>
      <sz val="10"/>
      <color theme="2"/>
      <name val="Arial"/>
      <family val="2"/>
    </font>
    <font>
      <sz val="12"/>
      <color theme="2"/>
      <name val="Arial"/>
      <family val="2"/>
    </font>
    <font>
      <i/>
      <sz val="12"/>
      <color theme="2"/>
      <name val="Arial"/>
      <family val="2"/>
    </font>
    <font>
      <u/>
      <sz val="14"/>
      <color theme="1" tint="0.499984740745262"/>
      <name val="Arial"/>
      <family val="2"/>
    </font>
    <font>
      <sz val="14"/>
      <color theme="1" tint="0.499984740745262"/>
      <name val="Arial"/>
      <family val="2"/>
    </font>
    <font>
      <sz val="12"/>
      <color theme="1" tint="0.499984740745262"/>
      <name val="Arial"/>
      <family val="2"/>
    </font>
    <font>
      <b/>
      <i/>
      <sz val="12"/>
      <color theme="1" tint="0.499984740745262"/>
      <name val="Arial"/>
      <family val="2"/>
    </font>
    <font>
      <sz val="10"/>
      <color theme="1" tint="0.499984740745262"/>
      <name val="Arial"/>
      <family val="2"/>
    </font>
    <font>
      <i/>
      <sz val="12"/>
      <color theme="1" tint="0.499984740745262"/>
      <name val="Arial"/>
      <family val="2"/>
    </font>
    <font>
      <b/>
      <i/>
      <sz val="10"/>
      <color theme="1" tint="0.499984740745262"/>
      <name val="Arial"/>
      <family val="2"/>
    </font>
    <font>
      <sz val="14"/>
      <color theme="2"/>
      <name val="Arial"/>
      <family val="2"/>
    </font>
    <font>
      <sz val="10"/>
      <color theme="0" tint="-0.34998626667073579"/>
      <name val="Arial"/>
      <family val="2"/>
    </font>
    <font>
      <sz val="12"/>
      <color theme="0" tint="-0.34998626667073579"/>
      <name val="Arial"/>
      <family val="2"/>
    </font>
    <font>
      <sz val="14"/>
      <color theme="0" tint="-0.34998626667073579"/>
      <name val="Arial"/>
      <family val="2"/>
    </font>
    <font>
      <i/>
      <sz val="12"/>
      <color theme="0" tint="-0.34998626667073579"/>
      <name val="Arial"/>
      <family val="2"/>
    </font>
    <font>
      <b/>
      <sz val="18"/>
      <name val="Arial"/>
      <family val="2"/>
    </font>
    <font>
      <b/>
      <i/>
      <sz val="14"/>
      <name val="Arial"/>
      <family val="2"/>
    </font>
    <font>
      <b/>
      <sz val="10"/>
      <color rgb="FF000000"/>
      <name val="Arial"/>
      <family val="2"/>
    </font>
    <font>
      <b/>
      <sz val="12"/>
      <color rgb="FF000000"/>
      <name val="Arial"/>
      <family val="2"/>
    </font>
    <font>
      <b/>
      <u/>
      <sz val="14"/>
      <color theme="1"/>
      <name val="Arial"/>
      <family val="2"/>
    </font>
    <font>
      <b/>
      <i/>
      <sz val="10"/>
      <color rgb="FF000000"/>
      <name val="Arial"/>
      <family val="2"/>
    </font>
    <font>
      <b/>
      <i/>
      <sz val="14"/>
      <color theme="1"/>
      <name val="Arial"/>
      <family val="2"/>
    </font>
    <font>
      <b/>
      <sz val="16"/>
      <color theme="4"/>
      <name val="Arial"/>
      <family val="2"/>
    </font>
    <font>
      <b/>
      <sz val="14"/>
      <color theme="4"/>
      <name val="Arial"/>
      <family val="2"/>
    </font>
    <font>
      <sz val="10"/>
      <color theme="0" tint="-0.499984740745262"/>
      <name val="Arial"/>
      <family val="2"/>
    </font>
    <font>
      <b/>
      <sz val="11"/>
      <name val="Arial"/>
      <family val="2"/>
    </font>
    <font>
      <sz val="14"/>
      <color rgb="FF000000"/>
      <name val="Arial"/>
      <family val="2"/>
    </font>
    <font>
      <sz val="12"/>
      <color rgb="FF000000"/>
      <name val="Arial"/>
      <family val="2"/>
    </font>
    <font>
      <i/>
      <sz val="14"/>
      <color rgb="FF000000"/>
      <name val="Arial"/>
      <family val="2"/>
    </font>
    <font>
      <b/>
      <sz val="9"/>
      <name val="Arial"/>
      <family val="2"/>
    </font>
    <font>
      <i/>
      <sz val="10"/>
      <color theme="2"/>
      <name val="Arial"/>
      <family val="2"/>
    </font>
    <font>
      <i/>
      <sz val="10"/>
      <color theme="3" tint="0.59999389629810485"/>
      <name val="Arial"/>
      <family val="2"/>
    </font>
    <font>
      <u/>
      <sz val="16"/>
      <name val="Arial"/>
      <family val="2"/>
    </font>
    <font>
      <b/>
      <u/>
      <sz val="11"/>
      <name val="Arial"/>
      <family val="2"/>
    </font>
    <font>
      <b/>
      <u/>
      <sz val="14"/>
      <name val="Arial"/>
      <family val="2"/>
    </font>
    <font>
      <sz val="10"/>
      <color theme="1"/>
      <name val="Arial"/>
    </font>
  </fonts>
  <fills count="4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rgb="FF00B050"/>
        <bgColor indexed="64"/>
      </patternFill>
    </fill>
    <fill>
      <patternFill patternType="solid">
        <fgColor theme="5"/>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8" tint="0.79998168889431442"/>
        <bgColor rgb="FF000000"/>
      </patternFill>
    </fill>
    <fill>
      <patternFill patternType="solid">
        <fgColor theme="8" tint="0.399975585192419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rgb="FF0070C0"/>
        <bgColor indexed="64"/>
      </patternFill>
    </fill>
    <fill>
      <patternFill patternType="solid">
        <fgColor rgb="FF92D050"/>
        <bgColor indexed="64"/>
      </patternFill>
    </fill>
    <fill>
      <patternFill patternType="solid">
        <fgColor rgb="FFFFFC91"/>
        <bgColor indexed="64"/>
      </patternFill>
    </fill>
    <fill>
      <patternFill patternType="solid">
        <fgColor rgb="FFF9C600"/>
        <bgColor indexed="64"/>
      </patternFill>
    </fill>
    <fill>
      <patternFill patternType="solid">
        <fgColor theme="2" tint="-0.499984740745262"/>
        <bgColor indexed="64"/>
      </patternFill>
    </fill>
    <fill>
      <patternFill patternType="solid">
        <fgColor theme="6" tint="0.79998168889431442"/>
        <bgColor indexed="64"/>
      </patternFill>
    </fill>
    <fill>
      <patternFill patternType="solid">
        <fgColor rgb="FFC00000"/>
        <bgColor indexed="64"/>
      </patternFill>
    </fill>
    <fill>
      <patternFill patternType="solid">
        <fgColor theme="0"/>
        <bgColor rgb="FF000000"/>
      </patternFill>
    </fill>
    <fill>
      <patternFill patternType="solid">
        <fgColor rgb="FFFFFF00"/>
        <bgColor rgb="FF000000"/>
      </patternFill>
    </fill>
    <fill>
      <patternFill patternType="solid">
        <fgColor theme="6" tint="-0.249977111117893"/>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DAEEF3"/>
        <bgColor rgb="FF000000"/>
      </patternFill>
    </fill>
    <fill>
      <patternFill patternType="solid">
        <fgColor rgb="FFFFFFFF"/>
        <bgColor rgb="FF000000"/>
      </patternFill>
    </fill>
    <fill>
      <patternFill patternType="solid">
        <fgColor rgb="FF9BFE6A"/>
        <bgColor indexed="64"/>
      </patternFill>
    </fill>
    <fill>
      <patternFill patternType="solid">
        <fgColor theme="1" tint="0.499984740745262"/>
        <bgColor indexed="64"/>
      </patternFill>
    </fill>
    <fill>
      <patternFill patternType="solid">
        <fgColor rgb="FFFFC000"/>
        <bgColor indexed="64"/>
      </patternFill>
    </fill>
    <fill>
      <patternFill patternType="solid">
        <fgColor theme="0" tint="-0.34998626667073579"/>
        <bgColor indexed="64"/>
      </patternFill>
    </fill>
    <fill>
      <patternFill patternType="solid">
        <fgColor rgb="FF92CDDC"/>
        <bgColor rgb="FF000000"/>
      </patternFill>
    </fill>
  </fills>
  <borders count="47">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70C0"/>
      </left>
      <right style="medium">
        <color rgb="FF0070C0"/>
      </right>
      <top style="medium">
        <color rgb="FF0070C0"/>
      </top>
      <bottom style="medium">
        <color rgb="FF0070C0"/>
      </bottom>
      <diagonal/>
    </border>
    <border>
      <left style="medium">
        <color rgb="FF0070C0"/>
      </left>
      <right style="medium">
        <color rgb="FF0070C0"/>
      </right>
      <top/>
      <bottom style="medium">
        <color rgb="FF0070C0"/>
      </bottom>
      <diagonal/>
    </border>
    <border>
      <left style="medium">
        <color rgb="FF0070C0"/>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style="medium">
        <color rgb="FF0070C0"/>
      </right>
      <top style="medium">
        <color rgb="FF0070C0"/>
      </top>
      <bottom/>
      <diagonal/>
    </border>
    <border>
      <left/>
      <right style="medium">
        <color rgb="FF0070C0"/>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rgb="FF0070C0"/>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4"/>
      </bottom>
      <diagonal/>
    </border>
    <border>
      <left/>
      <right style="thin">
        <color indexed="64"/>
      </right>
      <top/>
      <bottom style="medium">
        <color theme="4"/>
      </bottom>
      <diagonal/>
    </border>
    <border>
      <left/>
      <right/>
      <top style="thin">
        <color indexed="64"/>
      </top>
      <bottom style="medium">
        <color theme="4"/>
      </bottom>
      <diagonal/>
    </border>
    <border>
      <left/>
      <right style="thin">
        <color indexed="64"/>
      </right>
      <top style="thin">
        <color indexed="64"/>
      </top>
      <bottom style="medium">
        <color theme="4"/>
      </bottom>
      <diagonal/>
    </border>
    <border>
      <left/>
      <right/>
      <top/>
      <bottom style="thin">
        <color theme="1"/>
      </bottom>
      <diagonal/>
    </border>
    <border>
      <left/>
      <right style="medium">
        <color rgb="FF0070C0"/>
      </right>
      <top/>
      <bottom style="medium">
        <color rgb="FF0070C0"/>
      </bottom>
      <diagonal/>
    </border>
    <border>
      <left style="thin">
        <color indexed="64"/>
      </left>
      <right/>
      <top/>
      <bottom style="thin">
        <color theme="1"/>
      </bottom>
      <diagonal/>
    </border>
    <border>
      <left/>
      <right style="medium">
        <color theme="4"/>
      </right>
      <top/>
      <bottom/>
      <diagonal/>
    </border>
    <border>
      <left style="medium">
        <color theme="1"/>
      </left>
      <right/>
      <top/>
      <bottom/>
      <diagonal/>
    </border>
    <border>
      <left/>
      <right style="medium">
        <color rgb="FF0070C0"/>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1172">
    <xf numFmtId="0" fontId="0" fillId="0" borderId="0" xfId="0"/>
    <xf numFmtId="1" fontId="0" fillId="0" borderId="0" xfId="0" applyNumberFormat="1"/>
    <xf numFmtId="0" fontId="0" fillId="0" borderId="1" xfId="0" applyBorder="1"/>
    <xf numFmtId="1" fontId="0" fillId="0" borderId="1" xfId="0" applyNumberFormat="1" applyBorder="1"/>
    <xf numFmtId="0" fontId="3" fillId="0" borderId="0" xfId="0" applyFont="1"/>
    <xf numFmtId="0" fontId="4" fillId="0" borderId="0" xfId="0" applyFont="1"/>
    <xf numFmtId="0" fontId="0" fillId="0" borderId="2" xfId="0" applyBorder="1"/>
    <xf numFmtId="0" fontId="3" fillId="0" borderId="2" xfId="0" applyFont="1" applyBorder="1"/>
    <xf numFmtId="0" fontId="3" fillId="0" borderId="2" xfId="0" applyFont="1" applyBorder="1" applyAlignment="1">
      <alignment wrapText="1"/>
    </xf>
    <xf numFmtId="0" fontId="4" fillId="0" borderId="1" xfId="0" applyFont="1" applyBorder="1"/>
    <xf numFmtId="1" fontId="4" fillId="0" borderId="1" xfId="0" applyNumberFormat="1" applyFont="1" applyBorder="1"/>
    <xf numFmtId="0" fontId="0" fillId="0" borderId="7" xfId="0" applyBorder="1"/>
    <xf numFmtId="2" fontId="1" fillId="0" borderId="0" xfId="0" applyNumberFormat="1" applyFont="1"/>
    <xf numFmtId="0" fontId="1" fillId="0" borderId="0" xfId="0" applyFont="1"/>
    <xf numFmtId="0" fontId="10" fillId="0" borderId="0" xfId="0" applyFont="1"/>
    <xf numFmtId="0" fontId="0" fillId="0" borderId="9" xfId="0" applyBorder="1"/>
    <xf numFmtId="0" fontId="0" fillId="0" borderId="11" xfId="0" applyBorder="1"/>
    <xf numFmtId="0" fontId="0" fillId="0" borderId="12" xfId="0" applyBorder="1"/>
    <xf numFmtId="0" fontId="0" fillId="0" borderId="13" xfId="0" applyBorder="1"/>
    <xf numFmtId="0" fontId="1" fillId="0" borderId="5" xfId="0" applyFont="1" applyBorder="1" applyAlignment="1">
      <alignment horizontal="right"/>
    </xf>
    <xf numFmtId="0" fontId="0" fillId="0" borderId="15" xfId="0" applyBorder="1"/>
    <xf numFmtId="0" fontId="1" fillId="0" borderId="6" xfId="0" applyFont="1" applyBorder="1" applyAlignment="1">
      <alignment horizontal="right"/>
    </xf>
    <xf numFmtId="0" fontId="1" fillId="0" borderId="8" xfId="0" applyFont="1" applyBorder="1"/>
    <xf numFmtId="1" fontId="0" fillId="0" borderId="12" xfId="0" applyNumberFormat="1" applyBorder="1"/>
    <xf numFmtId="1" fontId="0" fillId="0" borderId="11" xfId="0" applyNumberFormat="1" applyBorder="1"/>
    <xf numFmtId="1" fontId="4" fillId="0" borderId="16" xfId="0" applyNumberFormat="1" applyFont="1" applyBorder="1"/>
    <xf numFmtId="1" fontId="4" fillId="0" borderId="17" xfId="0" applyNumberFormat="1" applyFont="1" applyBorder="1"/>
    <xf numFmtId="1" fontId="0" fillId="0" borderId="16" xfId="0" applyNumberFormat="1" applyBorder="1"/>
    <xf numFmtId="1" fontId="0" fillId="0" borderId="17" xfId="0" applyNumberFormat="1" applyBorder="1"/>
    <xf numFmtId="0" fontId="4" fillId="0" borderId="16" xfId="0" applyFont="1" applyBorder="1"/>
    <xf numFmtId="0" fontId="11" fillId="0" borderId="0" xfId="0" applyFont="1"/>
    <xf numFmtId="0" fontId="0" fillId="0" borderId="18" xfId="0" applyBorder="1"/>
    <xf numFmtId="0" fontId="3" fillId="0" borderId="16" xfId="0" applyFont="1" applyBorder="1"/>
    <xf numFmtId="1" fontId="1" fillId="0" borderId="0" xfId="0" applyNumberFormat="1" applyFont="1"/>
    <xf numFmtId="1" fontId="0" fillId="0" borderId="9" xfId="0" applyNumberFormat="1" applyBorder="1"/>
    <xf numFmtId="1" fontId="0" fillId="0" borderId="18" xfId="0" applyNumberFormat="1" applyBorder="1"/>
    <xf numFmtId="1" fontId="0" fillId="0" borderId="10" xfId="0" applyNumberFormat="1" applyBorder="1"/>
    <xf numFmtId="0" fontId="12" fillId="2" borderId="2" xfId="0" applyFont="1" applyFill="1" applyBorder="1" applyAlignment="1">
      <alignment horizontal="center"/>
    </xf>
    <xf numFmtId="0" fontId="12" fillId="2" borderId="2" xfId="0" applyFont="1" applyFill="1" applyBorder="1" applyAlignment="1">
      <alignment horizontal="center" wrapText="1"/>
    </xf>
    <xf numFmtId="0" fontId="13" fillId="2" borderId="0" xfId="0" applyFont="1" applyFill="1" applyAlignment="1">
      <alignment horizontal="center"/>
    </xf>
    <xf numFmtId="0" fontId="14" fillId="2" borderId="1" xfId="0" applyFont="1" applyFill="1" applyBorder="1" applyAlignment="1">
      <alignment horizontal="center"/>
    </xf>
    <xf numFmtId="0" fontId="13" fillId="2" borderId="18" xfId="0" applyFont="1" applyFill="1" applyBorder="1" applyAlignment="1">
      <alignment horizontal="center"/>
    </xf>
    <xf numFmtId="164" fontId="1" fillId="0" borderId="0" xfId="0" applyNumberFormat="1" applyFont="1"/>
    <xf numFmtId="0" fontId="7" fillId="0" borderId="1" xfId="0" applyFont="1" applyBorder="1"/>
    <xf numFmtId="0" fontId="1" fillId="5" borderId="0" xfId="0" applyFont="1" applyFill="1"/>
    <xf numFmtId="0" fontId="8" fillId="5" borderId="0" xfId="0" applyFont="1" applyFill="1"/>
    <xf numFmtId="0" fontId="0" fillId="5" borderId="0" xfId="0" applyFill="1"/>
    <xf numFmtId="1" fontId="10" fillId="5" borderId="0" xfId="0" applyNumberFormat="1" applyFont="1" applyFill="1"/>
    <xf numFmtId="0" fontId="10" fillId="5" borderId="0" xfId="0" applyFont="1" applyFill="1"/>
    <xf numFmtId="2" fontId="1" fillId="5" borderId="0" xfId="0" applyNumberFormat="1" applyFont="1" applyFill="1"/>
    <xf numFmtId="0" fontId="4" fillId="5" borderId="0" xfId="0" applyFont="1" applyFill="1"/>
    <xf numFmtId="0" fontId="1" fillId="7" borderId="0" xfId="0" applyFont="1" applyFill="1"/>
    <xf numFmtId="2" fontId="1" fillId="7" borderId="0" xfId="0" applyNumberFormat="1" applyFont="1" applyFill="1"/>
    <xf numFmtId="164" fontId="1" fillId="7" borderId="0" xfId="0" applyNumberFormat="1" applyFont="1" applyFill="1"/>
    <xf numFmtId="0" fontId="11" fillId="7" borderId="0" xfId="0" applyFont="1" applyFill="1"/>
    <xf numFmtId="0" fontId="17" fillId="0" borderId="0" xfId="0" applyFont="1"/>
    <xf numFmtId="0" fontId="19" fillId="0" borderId="0" xfId="0" applyFont="1"/>
    <xf numFmtId="0" fontId="0" fillId="8" borderId="0" xfId="0" applyFill="1"/>
    <xf numFmtId="0" fontId="0" fillId="7" borderId="0" xfId="0" applyFill="1"/>
    <xf numFmtId="0" fontId="18" fillId="7" borderId="0" xfId="0" applyFont="1" applyFill="1" applyAlignment="1">
      <alignment horizontal="center"/>
    </xf>
    <xf numFmtId="2" fontId="18" fillId="7" borderId="0" xfId="0" applyNumberFormat="1" applyFont="1" applyFill="1" applyAlignment="1">
      <alignment horizontal="center"/>
    </xf>
    <xf numFmtId="0" fontId="1" fillId="9" borderId="0" xfId="0" applyFont="1" applyFill="1"/>
    <xf numFmtId="2" fontId="1" fillId="9" borderId="0" xfId="0" applyNumberFormat="1" applyFont="1" applyFill="1"/>
    <xf numFmtId="0" fontId="0" fillId="9" borderId="0" xfId="0" applyFill="1"/>
    <xf numFmtId="1" fontId="0" fillId="9" borderId="0" xfId="0" applyNumberFormat="1" applyFill="1"/>
    <xf numFmtId="0" fontId="1" fillId="10" borderId="0" xfId="0" applyFont="1" applyFill="1"/>
    <xf numFmtId="2" fontId="1" fillId="10" borderId="0" xfId="0" applyNumberFormat="1" applyFont="1" applyFill="1"/>
    <xf numFmtId="0" fontId="0" fillId="10" borderId="0" xfId="0" applyFill="1"/>
    <xf numFmtId="1" fontId="0" fillId="10" borderId="0" xfId="0" applyNumberFormat="1" applyFill="1"/>
    <xf numFmtId="0" fontId="18" fillId="0" borderId="0" xfId="0" applyFont="1"/>
    <xf numFmtId="0" fontId="6" fillId="0" borderId="0" xfId="0" quotePrefix="1" applyFont="1" applyAlignment="1">
      <alignment horizontal="left"/>
    </xf>
    <xf numFmtId="0" fontId="6" fillId="0" borderId="0" xfId="0" applyFont="1" applyAlignment="1">
      <alignment horizontal="left"/>
    </xf>
    <xf numFmtId="0" fontId="19" fillId="6" borderId="22" xfId="0" applyFont="1" applyFill="1" applyBorder="1"/>
    <xf numFmtId="0" fontId="10" fillId="6" borderId="22" xfId="0" applyFont="1" applyFill="1" applyBorder="1"/>
    <xf numFmtId="0" fontId="1" fillId="6" borderId="22" xfId="0" applyFont="1" applyFill="1" applyBorder="1"/>
    <xf numFmtId="0" fontId="0" fillId="6" borderId="22" xfId="0" applyFill="1" applyBorder="1"/>
    <xf numFmtId="1" fontId="1" fillId="6" borderId="22" xfId="0" applyNumberFormat="1" applyFont="1" applyFill="1" applyBorder="1"/>
    <xf numFmtId="2" fontId="1" fillId="6" borderId="22" xfId="0" applyNumberFormat="1" applyFont="1" applyFill="1" applyBorder="1"/>
    <xf numFmtId="0" fontId="18" fillId="20" borderId="0" xfId="0" applyFont="1" applyFill="1"/>
    <xf numFmtId="0" fontId="0" fillId="20" borderId="0" xfId="0" applyFill="1"/>
    <xf numFmtId="0" fontId="28" fillId="21" borderId="0" xfId="0" applyFont="1" applyFill="1"/>
    <xf numFmtId="164" fontId="1" fillId="21" borderId="0" xfId="0" applyNumberFormat="1" applyFont="1" applyFill="1"/>
    <xf numFmtId="0" fontId="1" fillId="20" borderId="0" xfId="0" applyFont="1" applyFill="1"/>
    <xf numFmtId="0" fontId="18" fillId="20" borderId="0" xfId="0" applyFont="1" applyFill="1" applyAlignment="1">
      <alignment horizontal="right"/>
    </xf>
    <xf numFmtId="0" fontId="18" fillId="20" borderId="0" xfId="0" applyFont="1" applyFill="1" applyAlignment="1">
      <alignment horizontal="center"/>
    </xf>
    <xf numFmtId="0" fontId="5" fillId="7" borderId="0" xfId="0" applyFont="1" applyFill="1"/>
    <xf numFmtId="0" fontId="5" fillId="9" borderId="0" xfId="0" applyFont="1" applyFill="1"/>
    <xf numFmtId="0" fontId="5" fillId="10" borderId="0" xfId="0" applyFont="1" applyFill="1"/>
    <xf numFmtId="0" fontId="5" fillId="20" borderId="0" xfId="0" applyFont="1" applyFill="1"/>
    <xf numFmtId="0" fontId="15" fillId="5" borderId="0" xfId="0" applyFont="1" applyFill="1"/>
    <xf numFmtId="2" fontId="0" fillId="20" borderId="0" xfId="0" applyNumberFormat="1" applyFill="1"/>
    <xf numFmtId="164" fontId="28" fillId="22" borderId="22" xfId="0" applyNumberFormat="1" applyFont="1" applyFill="1" applyBorder="1"/>
    <xf numFmtId="164" fontId="1" fillId="22" borderId="22" xfId="0" applyNumberFormat="1" applyFont="1" applyFill="1" applyBorder="1"/>
    <xf numFmtId="2" fontId="0" fillId="6" borderId="22" xfId="0" applyNumberFormat="1" applyFill="1" applyBorder="1"/>
    <xf numFmtId="1" fontId="10" fillId="6" borderId="22" xfId="0" applyNumberFormat="1" applyFont="1" applyFill="1" applyBorder="1"/>
    <xf numFmtId="164" fontId="1" fillId="6" borderId="22" xfId="0" applyNumberFormat="1" applyFont="1" applyFill="1" applyBorder="1"/>
    <xf numFmtId="0" fontId="5" fillId="23" borderId="0" xfId="0" applyFont="1" applyFill="1"/>
    <xf numFmtId="0" fontId="1" fillId="23" borderId="0" xfId="0" applyFont="1" applyFill="1"/>
    <xf numFmtId="2" fontId="1" fillId="23" borderId="0" xfId="0" applyNumberFormat="1" applyFont="1" applyFill="1"/>
    <xf numFmtId="0" fontId="0" fillId="23" borderId="0" xfId="0" applyFill="1"/>
    <xf numFmtId="1" fontId="0" fillId="23" borderId="0" xfId="0" applyNumberFormat="1" applyFill="1"/>
    <xf numFmtId="0" fontId="0" fillId="16" borderId="0" xfId="0" applyFill="1"/>
    <xf numFmtId="0" fontId="23" fillId="7" borderId="1" xfId="0" applyFont="1" applyFill="1" applyBorder="1" applyAlignment="1">
      <alignment horizontal="left"/>
    </xf>
    <xf numFmtId="0" fontId="23" fillId="7" borderId="1" xfId="0" applyFont="1" applyFill="1" applyBorder="1" applyAlignment="1">
      <alignment horizontal="center"/>
    </xf>
    <xf numFmtId="0" fontId="22" fillId="7" borderId="0" xfId="0" applyFont="1" applyFill="1" applyAlignment="1">
      <alignment horizontal="center"/>
    </xf>
    <xf numFmtId="0" fontId="22" fillId="7" borderId="0" xfId="0" applyFont="1" applyFill="1" applyAlignment="1">
      <alignment wrapText="1"/>
    </xf>
    <xf numFmtId="0" fontId="22" fillId="7" borderId="0" xfId="0" applyFont="1" applyFill="1"/>
    <xf numFmtId="0" fontId="30" fillId="0" borderId="0" xfId="0" applyFont="1"/>
    <xf numFmtId="164" fontId="19" fillId="22" borderId="22" xfId="0" applyNumberFormat="1" applyFont="1" applyFill="1" applyBorder="1"/>
    <xf numFmtId="0" fontId="0" fillId="24" borderId="0" xfId="0" applyFill="1"/>
    <xf numFmtId="0" fontId="3" fillId="10" borderId="0" xfId="0" applyFont="1" applyFill="1"/>
    <xf numFmtId="0" fontId="18" fillId="5" borderId="0" xfId="0" applyFont="1" applyFill="1"/>
    <xf numFmtId="0" fontId="27" fillId="3" borderId="9" xfId="0" applyFont="1" applyFill="1" applyBorder="1"/>
    <xf numFmtId="0" fontId="0" fillId="3" borderId="18" xfId="0" applyFill="1" applyBorder="1"/>
    <xf numFmtId="0" fontId="0" fillId="3" borderId="10" xfId="0" applyFill="1" applyBorder="1"/>
    <xf numFmtId="0" fontId="19" fillId="3" borderId="12" xfId="0" applyFont="1" applyFill="1" applyBorder="1"/>
    <xf numFmtId="0" fontId="0" fillId="3" borderId="0" xfId="0" applyFill="1"/>
    <xf numFmtId="0" fontId="0" fillId="3" borderId="11" xfId="0" applyFill="1" applyBorder="1"/>
    <xf numFmtId="0" fontId="20" fillId="3" borderId="0" xfId="0" applyFont="1" applyFill="1" applyAlignment="1">
      <alignment horizontal="center"/>
    </xf>
    <xf numFmtId="0" fontId="18" fillId="3" borderId="0" xfId="0" applyFont="1" applyFill="1"/>
    <xf numFmtId="0" fontId="19" fillId="3" borderId="0" xfId="0" applyFont="1" applyFill="1"/>
    <xf numFmtId="0" fontId="19" fillId="3" borderId="1" xfId="0" applyFont="1" applyFill="1" applyBorder="1"/>
    <xf numFmtId="0" fontId="3" fillId="10" borderId="29" xfId="0" applyFont="1" applyFill="1" applyBorder="1"/>
    <xf numFmtId="0" fontId="0" fillId="10" borderId="18" xfId="0" applyFill="1" applyBorder="1"/>
    <xf numFmtId="0" fontId="0" fillId="10" borderId="10" xfId="0" applyFill="1" applyBorder="1"/>
    <xf numFmtId="0" fontId="6" fillId="10" borderId="12" xfId="0" applyFont="1" applyFill="1" applyBorder="1"/>
    <xf numFmtId="0" fontId="0" fillId="10" borderId="11" xfId="0" applyFill="1" applyBorder="1"/>
    <xf numFmtId="0" fontId="20" fillId="10" borderId="0" xfId="0" applyFont="1" applyFill="1" applyAlignment="1">
      <alignment horizontal="center"/>
    </xf>
    <xf numFmtId="0" fontId="29" fillId="10" borderId="16" xfId="0" applyFont="1" applyFill="1" applyBorder="1"/>
    <xf numFmtId="0" fontId="0" fillId="10" borderId="1" xfId="0" applyFill="1" applyBorder="1"/>
    <xf numFmtId="0" fontId="29" fillId="10" borderId="1" xfId="0" applyFont="1" applyFill="1" applyBorder="1" applyAlignment="1">
      <alignment horizontal="center"/>
    </xf>
    <xf numFmtId="0" fontId="0" fillId="10" borderId="17" xfId="0" applyFill="1" applyBorder="1"/>
    <xf numFmtId="0" fontId="27" fillId="24" borderId="0" xfId="0" applyFont="1" applyFill="1"/>
    <xf numFmtId="0" fontId="6" fillId="11" borderId="0" xfId="0" applyFont="1" applyFill="1" applyAlignment="1">
      <alignment horizontal="left"/>
    </xf>
    <xf numFmtId="0" fontId="19" fillId="11" borderId="0" xfId="0" quotePrefix="1" applyFont="1" applyFill="1" applyAlignment="1">
      <alignment horizontal="left" wrapText="1"/>
    </xf>
    <xf numFmtId="0" fontId="0" fillId="11" borderId="18" xfId="0" applyFill="1" applyBorder="1"/>
    <xf numFmtId="0" fontId="0" fillId="11" borderId="10" xfId="0" applyFill="1" applyBorder="1"/>
    <xf numFmtId="0" fontId="6" fillId="11" borderId="12" xfId="0" quotePrefix="1" applyFont="1" applyFill="1" applyBorder="1" applyAlignment="1">
      <alignment horizontal="left"/>
    </xf>
    <xf numFmtId="0" fontId="0" fillId="11" borderId="0" xfId="0" applyFill="1"/>
    <xf numFmtId="0" fontId="0" fillId="11" borderId="11" xfId="0" applyFill="1" applyBorder="1"/>
    <xf numFmtId="0" fontId="19" fillId="11" borderId="12" xfId="0" quotePrefix="1" applyFont="1" applyFill="1" applyBorder="1" applyAlignment="1">
      <alignment horizontal="left" wrapText="1"/>
    </xf>
    <xf numFmtId="0" fontId="19" fillId="11" borderId="12" xfId="0" applyFont="1" applyFill="1" applyBorder="1"/>
    <xf numFmtId="0" fontId="19" fillId="11" borderId="0" xfId="0" applyFont="1" applyFill="1"/>
    <xf numFmtId="0" fontId="19" fillId="11" borderId="16" xfId="0" applyFont="1" applyFill="1" applyBorder="1"/>
    <xf numFmtId="0" fontId="0" fillId="11" borderId="1" xfId="0" applyFill="1" applyBorder="1"/>
    <xf numFmtId="0" fontId="0" fillId="11" borderId="17" xfId="0" applyFill="1" applyBorder="1"/>
    <xf numFmtId="0" fontId="0" fillId="20" borderId="18" xfId="0" applyFill="1" applyBorder="1"/>
    <xf numFmtId="0" fontId="0" fillId="20" borderId="10" xfId="0" applyFill="1" applyBorder="1"/>
    <xf numFmtId="0" fontId="3" fillId="20" borderId="12" xfId="0" applyFont="1" applyFill="1" applyBorder="1"/>
    <xf numFmtId="0" fontId="0" fillId="20" borderId="11" xfId="0" applyFill="1" applyBorder="1"/>
    <xf numFmtId="0" fontId="19" fillId="20" borderId="12" xfId="0" applyFont="1" applyFill="1" applyBorder="1"/>
    <xf numFmtId="0" fontId="1" fillId="20" borderId="12" xfId="0" applyFont="1" applyFill="1" applyBorder="1"/>
    <xf numFmtId="0" fontId="19" fillId="20" borderId="0" xfId="0" applyFont="1" applyFill="1"/>
    <xf numFmtId="0" fontId="19" fillId="20" borderId="16" xfId="0" applyFont="1" applyFill="1" applyBorder="1"/>
    <xf numFmtId="0" fontId="0" fillId="20" borderId="1" xfId="0" applyFill="1" applyBorder="1"/>
    <xf numFmtId="0" fontId="0" fillId="20" borderId="17" xfId="0" applyFill="1" applyBorder="1"/>
    <xf numFmtId="0" fontId="19" fillId="3" borderId="0" xfId="0" applyFont="1" applyFill="1" applyAlignment="1">
      <alignment horizontal="left"/>
    </xf>
    <xf numFmtId="0" fontId="32" fillId="3" borderId="0" xfId="0" applyFont="1" applyFill="1" applyAlignment="1">
      <alignment horizontal="left"/>
    </xf>
    <xf numFmtId="0" fontId="32" fillId="3" borderId="0" xfId="0" applyFont="1" applyFill="1"/>
    <xf numFmtId="164" fontId="19" fillId="6" borderId="22" xfId="0" applyNumberFormat="1" applyFont="1" applyFill="1" applyBorder="1"/>
    <xf numFmtId="164" fontId="19" fillId="6" borderId="23" xfId="0" applyNumberFormat="1" applyFont="1" applyFill="1" applyBorder="1"/>
    <xf numFmtId="164" fontId="32" fillId="3" borderId="0" xfId="0" applyNumberFormat="1" applyFont="1" applyFill="1"/>
    <xf numFmtId="0" fontId="20" fillId="3" borderId="0" xfId="0" applyFont="1" applyFill="1"/>
    <xf numFmtId="164" fontId="19" fillId="3" borderId="0" xfId="0" applyNumberFormat="1" applyFont="1" applyFill="1"/>
    <xf numFmtId="0" fontId="32" fillId="3" borderId="12" xfId="0" applyFont="1" applyFill="1" applyBorder="1" applyAlignment="1">
      <alignment horizontal="left"/>
    </xf>
    <xf numFmtId="0" fontId="19" fillId="3" borderId="12" xfId="0" applyFont="1" applyFill="1" applyBorder="1" applyAlignment="1">
      <alignment horizontal="left"/>
    </xf>
    <xf numFmtId="0" fontId="32" fillId="3" borderId="16" xfId="0" applyFont="1" applyFill="1" applyBorder="1" applyAlignment="1">
      <alignment horizontal="left"/>
    </xf>
    <xf numFmtId="0" fontId="32" fillId="3" borderId="1" xfId="0" applyFont="1" applyFill="1" applyBorder="1" applyAlignment="1">
      <alignment horizontal="left"/>
    </xf>
    <xf numFmtId="164" fontId="32" fillId="3" borderId="1" xfId="0" applyNumberFormat="1" applyFont="1" applyFill="1" applyBorder="1"/>
    <xf numFmtId="0" fontId="32" fillId="3" borderId="1" xfId="0" applyFont="1" applyFill="1" applyBorder="1"/>
    <xf numFmtId="1" fontId="32" fillId="3" borderId="1" xfId="0" applyNumberFormat="1" applyFont="1" applyFill="1" applyBorder="1"/>
    <xf numFmtId="0" fontId="3" fillId="7" borderId="0" xfId="0" applyFont="1" applyFill="1"/>
    <xf numFmtId="0" fontId="19" fillId="11" borderId="0" xfId="0" applyFont="1" applyFill="1" applyAlignment="1">
      <alignment horizontal="right"/>
    </xf>
    <xf numFmtId="3" fontId="22" fillId="6" borderId="22" xfId="0" applyNumberFormat="1" applyFont="1" applyFill="1" applyBorder="1"/>
    <xf numFmtId="0" fontId="22" fillId="11" borderId="0" xfId="0" applyFont="1" applyFill="1"/>
    <xf numFmtId="0" fontId="19" fillId="11" borderId="1" xfId="0" applyFont="1" applyFill="1" applyBorder="1"/>
    <xf numFmtId="0" fontId="5" fillId="25" borderId="0" xfId="0" applyFont="1" applyFill="1"/>
    <xf numFmtId="0" fontId="1" fillId="25" borderId="0" xfId="0" applyFont="1" applyFill="1"/>
    <xf numFmtId="2" fontId="1" fillId="25" borderId="0" xfId="0" applyNumberFormat="1" applyFont="1" applyFill="1"/>
    <xf numFmtId="0" fontId="0" fillId="25" borderId="0" xfId="0" applyFill="1"/>
    <xf numFmtId="1" fontId="0" fillId="25" borderId="0" xfId="0" applyNumberFormat="1" applyFill="1"/>
    <xf numFmtId="0" fontId="5" fillId="15" borderId="0" xfId="0" applyFont="1" applyFill="1"/>
    <xf numFmtId="0" fontId="1" fillId="15" borderId="0" xfId="0" applyFont="1" applyFill="1"/>
    <xf numFmtId="0" fontId="1" fillId="15" borderId="0" xfId="0" applyFont="1" applyFill="1" applyAlignment="1">
      <alignment horizontal="center"/>
    </xf>
    <xf numFmtId="2" fontId="1" fillId="15" borderId="0" xfId="0" applyNumberFormat="1" applyFont="1" applyFill="1"/>
    <xf numFmtId="0" fontId="0" fillId="15" borderId="0" xfId="0" applyFill="1"/>
    <xf numFmtId="0" fontId="1" fillId="15" borderId="0" xfId="0" applyFont="1" applyFill="1" applyAlignment="1">
      <alignment horizontal="right"/>
    </xf>
    <xf numFmtId="165" fontId="1" fillId="15" borderId="0" xfId="0" applyNumberFormat="1" applyFont="1" applyFill="1"/>
    <xf numFmtId="1" fontId="1" fillId="15" borderId="0" xfId="0" applyNumberFormat="1" applyFont="1" applyFill="1"/>
    <xf numFmtId="0" fontId="24" fillId="0" borderId="0" xfId="1" applyFont="1" applyAlignment="1" applyProtection="1">
      <alignment horizontal="left"/>
    </xf>
    <xf numFmtId="3" fontId="0" fillId="23" borderId="0" xfId="0" applyNumberFormat="1" applyFill="1"/>
    <xf numFmtId="3" fontId="0" fillId="5" borderId="0" xfId="0" applyNumberFormat="1" applyFill="1"/>
    <xf numFmtId="0" fontId="39" fillId="0" borderId="0" xfId="0" applyFont="1"/>
    <xf numFmtId="0" fontId="17" fillId="0" borderId="0" xfId="0" quotePrefix="1" applyFont="1" applyAlignment="1">
      <alignment horizontal="left"/>
    </xf>
    <xf numFmtId="0" fontId="38" fillId="0" borderId="0" xfId="0" applyFont="1"/>
    <xf numFmtId="0" fontId="4" fillId="7" borderId="0" xfId="0" applyFont="1" applyFill="1"/>
    <xf numFmtId="164" fontId="4" fillId="7" borderId="0" xfId="0" applyNumberFormat="1" applyFont="1" applyFill="1"/>
    <xf numFmtId="2" fontId="4" fillId="7" borderId="0" xfId="0" applyNumberFormat="1" applyFont="1" applyFill="1"/>
    <xf numFmtId="0" fontId="4" fillId="9" borderId="0" xfId="0" applyFont="1" applyFill="1"/>
    <xf numFmtId="2" fontId="4" fillId="9" borderId="0" xfId="0" applyNumberFormat="1" applyFont="1" applyFill="1"/>
    <xf numFmtId="1" fontId="4" fillId="9" borderId="0" xfId="0" applyNumberFormat="1" applyFont="1" applyFill="1"/>
    <xf numFmtId="0" fontId="4" fillId="10" borderId="0" xfId="0" applyFont="1" applyFill="1"/>
    <xf numFmtId="2" fontId="4" fillId="10" borderId="0" xfId="0" applyNumberFormat="1" applyFont="1" applyFill="1"/>
    <xf numFmtId="1" fontId="4" fillId="10" borderId="0" xfId="0" applyNumberFormat="1" applyFont="1" applyFill="1"/>
    <xf numFmtId="0" fontId="4" fillId="25" borderId="0" xfId="0" applyFont="1" applyFill="1"/>
    <xf numFmtId="2" fontId="4" fillId="25" borderId="0" xfId="0" applyNumberFormat="1" applyFont="1" applyFill="1"/>
    <xf numFmtId="1" fontId="4" fillId="25" borderId="0" xfId="0" applyNumberFormat="1" applyFont="1" applyFill="1"/>
    <xf numFmtId="0" fontId="4" fillId="15" borderId="0" xfId="0" applyFont="1" applyFill="1"/>
    <xf numFmtId="1" fontId="4" fillId="15" borderId="0" xfId="0" applyNumberFormat="1" applyFont="1" applyFill="1"/>
    <xf numFmtId="0" fontId="4" fillId="20" borderId="0" xfId="0" applyFont="1" applyFill="1"/>
    <xf numFmtId="0" fontId="41" fillId="21" borderId="0" xfId="0" applyFont="1" applyFill="1"/>
    <xf numFmtId="164" fontId="4" fillId="21" borderId="0" xfId="0" applyNumberFormat="1" applyFont="1" applyFill="1"/>
    <xf numFmtId="164" fontId="4" fillId="20" borderId="0" xfId="0" applyNumberFormat="1" applyFont="1" applyFill="1"/>
    <xf numFmtId="4" fontId="4" fillId="20" borderId="0" xfId="0" applyNumberFormat="1" applyFont="1" applyFill="1"/>
    <xf numFmtId="0" fontId="4" fillId="23" borderId="0" xfId="0" applyFont="1" applyFill="1"/>
    <xf numFmtId="2" fontId="4" fillId="23" borderId="0" xfId="0" applyNumberFormat="1" applyFont="1" applyFill="1"/>
    <xf numFmtId="1" fontId="4" fillId="23" borderId="0" xfId="0" applyNumberFormat="1" applyFont="1" applyFill="1"/>
    <xf numFmtId="3" fontId="4" fillId="23" borderId="0" xfId="0" applyNumberFormat="1" applyFont="1" applyFill="1"/>
    <xf numFmtId="1" fontId="37" fillId="5" borderId="0" xfId="0" applyNumberFormat="1" applyFont="1" applyFill="1"/>
    <xf numFmtId="2" fontId="4" fillId="5" borderId="0" xfId="0" applyNumberFormat="1" applyFont="1" applyFill="1"/>
    <xf numFmtId="3" fontId="4" fillId="5" borderId="0" xfId="0" applyNumberFormat="1" applyFont="1" applyFill="1"/>
    <xf numFmtId="0" fontId="24" fillId="3" borderId="3" xfId="1" applyFont="1" applyFill="1" applyBorder="1" applyAlignment="1" applyProtection="1">
      <alignment horizontal="left"/>
    </xf>
    <xf numFmtId="0" fontId="0" fillId="3" borderId="3" xfId="0" applyFill="1" applyBorder="1"/>
    <xf numFmtId="0" fontId="0" fillId="3" borderId="7" xfId="0" applyFill="1" applyBorder="1"/>
    <xf numFmtId="0" fontId="31" fillId="3" borderId="14" xfId="1" applyFont="1" applyFill="1" applyBorder="1" applyAlignment="1" applyProtection="1">
      <alignment horizontal="left"/>
    </xf>
    <xf numFmtId="0" fontId="24" fillId="3" borderId="0" xfId="1" applyFont="1" applyFill="1" applyBorder="1" applyAlignment="1" applyProtection="1">
      <alignment horizontal="left"/>
    </xf>
    <xf numFmtId="0" fontId="0" fillId="3" borderId="15" xfId="0" applyFill="1" applyBorder="1"/>
    <xf numFmtId="0" fontId="18" fillId="3" borderId="14" xfId="0" applyFont="1" applyFill="1" applyBorder="1"/>
    <xf numFmtId="0" fontId="16" fillId="3" borderId="0" xfId="1" applyFont="1" applyFill="1" applyBorder="1" applyAlignment="1" applyProtection="1">
      <alignment horizontal="left"/>
    </xf>
    <xf numFmtId="3" fontId="18" fillId="3" borderId="0" xfId="0" applyNumberFormat="1" applyFont="1" applyFill="1"/>
    <xf numFmtId="0" fontId="5" fillId="3" borderId="0" xfId="0" applyFont="1" applyFill="1"/>
    <xf numFmtId="0" fontId="22" fillId="3" borderId="14" xfId="1" applyFont="1" applyFill="1" applyBorder="1" applyAlignment="1" applyProtection="1">
      <alignment horizontal="left"/>
    </xf>
    <xf numFmtId="3" fontId="0" fillId="3" borderId="0" xfId="0" applyNumberFormat="1" applyFill="1"/>
    <xf numFmtId="3" fontId="19" fillId="3" borderId="0" xfId="0" applyNumberFormat="1" applyFont="1" applyFill="1"/>
    <xf numFmtId="0" fontId="19" fillId="3" borderId="15" xfId="0" applyFont="1" applyFill="1" applyBorder="1"/>
    <xf numFmtId="0" fontId="16" fillId="3" borderId="14" xfId="1" applyFont="1" applyFill="1" applyBorder="1" applyAlignment="1" applyProtection="1">
      <alignment horizontal="left"/>
    </xf>
    <xf numFmtId="0" fontId="16" fillId="3" borderId="0" xfId="0" applyFont="1" applyFill="1"/>
    <xf numFmtId="3" fontId="16" fillId="3" borderId="0" xfId="0" applyNumberFormat="1" applyFont="1" applyFill="1"/>
    <xf numFmtId="2" fontId="16" fillId="3" borderId="0" xfId="0" applyNumberFormat="1" applyFont="1" applyFill="1"/>
    <xf numFmtId="0" fontId="18" fillId="3" borderId="15" xfId="0" applyFont="1" applyFill="1" applyBorder="1"/>
    <xf numFmtId="0" fontId="42" fillId="3" borderId="0" xfId="1" applyFont="1" applyFill="1" applyBorder="1" applyAlignment="1" applyProtection="1">
      <alignment horizontal="left"/>
    </xf>
    <xf numFmtId="0" fontId="42" fillId="3" borderId="0" xfId="0" applyFont="1" applyFill="1"/>
    <xf numFmtId="3" fontId="42" fillId="3" borderId="0" xfId="0" applyNumberFormat="1" applyFont="1" applyFill="1"/>
    <xf numFmtId="0" fontId="43" fillId="3" borderId="0" xfId="0" applyFont="1" applyFill="1"/>
    <xf numFmtId="2" fontId="42" fillId="3" borderId="0" xfId="0" applyNumberFormat="1" applyFont="1" applyFill="1"/>
    <xf numFmtId="0" fontId="22" fillId="3" borderId="0" xfId="1" applyFont="1" applyFill="1" applyBorder="1" applyAlignment="1" applyProtection="1">
      <alignment horizontal="left"/>
    </xf>
    <xf numFmtId="0" fontId="10" fillId="3" borderId="0" xfId="0" applyFont="1" applyFill="1"/>
    <xf numFmtId="1" fontId="16" fillId="3" borderId="0" xfId="0" applyNumberFormat="1" applyFont="1" applyFill="1"/>
    <xf numFmtId="0" fontId="25" fillId="3" borderId="14" xfId="1" applyFont="1" applyFill="1" applyBorder="1" applyAlignment="1" applyProtection="1"/>
    <xf numFmtId="0" fontId="22" fillId="3" borderId="0" xfId="0" applyFont="1" applyFill="1"/>
    <xf numFmtId="1" fontId="22" fillId="3" borderId="0" xfId="0" applyNumberFormat="1" applyFont="1" applyFill="1"/>
    <xf numFmtId="0" fontId="38" fillId="3" borderId="14" xfId="1" applyFont="1" applyFill="1" applyBorder="1" applyAlignment="1" applyProtection="1">
      <alignment horizontal="left"/>
    </xf>
    <xf numFmtId="0" fontId="39" fillId="3" borderId="15" xfId="0" applyFont="1" applyFill="1" applyBorder="1"/>
    <xf numFmtId="0" fontId="42" fillId="3" borderId="4" xfId="0" applyFont="1" applyFill="1" applyBorder="1" applyAlignment="1">
      <alignment horizontal="left" wrapText="1"/>
    </xf>
    <xf numFmtId="0" fontId="4" fillId="3" borderId="8" xfId="0" applyFont="1" applyFill="1" applyBorder="1"/>
    <xf numFmtId="2" fontId="18" fillId="6" borderId="22" xfId="0" applyNumberFormat="1" applyFont="1" applyFill="1" applyBorder="1"/>
    <xf numFmtId="0" fontId="44" fillId="3" borderId="5" xfId="1" applyFont="1" applyFill="1" applyBorder="1" applyAlignment="1" applyProtection="1">
      <alignment horizontal="left"/>
    </xf>
    <xf numFmtId="0" fontId="45" fillId="3" borderId="14" xfId="1" applyFont="1" applyFill="1" applyBorder="1" applyAlignment="1" applyProtection="1">
      <alignment horizontal="left"/>
    </xf>
    <xf numFmtId="3" fontId="43" fillId="3" borderId="0" xfId="0" applyNumberFormat="1" applyFont="1" applyFill="1"/>
    <xf numFmtId="0" fontId="4" fillId="3" borderId="15" xfId="0" applyFont="1" applyFill="1" applyBorder="1"/>
    <xf numFmtId="0" fontId="31" fillId="8" borderId="0" xfId="0" applyFont="1" applyFill="1"/>
    <xf numFmtId="0" fontId="38" fillId="3" borderId="0" xfId="0" applyFont="1" applyFill="1" applyAlignment="1">
      <alignment horizontal="left" wrapText="1"/>
    </xf>
    <xf numFmtId="0" fontId="42" fillId="3" borderId="0" xfId="0" applyFont="1" applyFill="1" applyAlignment="1">
      <alignment horizontal="left" wrapText="1"/>
    </xf>
    <xf numFmtId="3" fontId="42" fillId="3" borderId="0" xfId="0" applyNumberFormat="1" applyFont="1" applyFill="1" applyAlignment="1">
      <alignment horizontal="right" wrapText="1"/>
    </xf>
    <xf numFmtId="2" fontId="42" fillId="3" borderId="0" xfId="0" applyNumberFormat="1" applyFont="1" applyFill="1" applyAlignment="1">
      <alignment horizontal="right" wrapText="1"/>
    </xf>
    <xf numFmtId="0" fontId="7" fillId="3" borderId="0" xfId="0" applyFont="1" applyFill="1"/>
    <xf numFmtId="3" fontId="46" fillId="3" borderId="0" xfId="0" applyNumberFormat="1" applyFont="1" applyFill="1" applyAlignment="1">
      <alignment horizontal="right" wrapText="1"/>
    </xf>
    <xf numFmtId="0" fontId="46" fillId="3" borderId="0" xfId="0" applyFont="1" applyFill="1"/>
    <xf numFmtId="2" fontId="46" fillId="3" borderId="0" xfId="0" applyNumberFormat="1" applyFont="1" applyFill="1" applyAlignment="1">
      <alignment horizontal="right" wrapText="1"/>
    </xf>
    <xf numFmtId="3" fontId="46" fillId="3" borderId="0" xfId="0" applyNumberFormat="1" applyFont="1" applyFill="1"/>
    <xf numFmtId="0" fontId="45" fillId="3" borderId="0" xfId="0" applyFont="1" applyFill="1" applyAlignment="1">
      <alignment horizontal="left" wrapText="1"/>
    </xf>
    <xf numFmtId="0" fontId="32" fillId="20" borderId="0" xfId="0" applyFont="1" applyFill="1"/>
    <xf numFmtId="3" fontId="19" fillId="6" borderId="22" xfId="0" applyNumberFormat="1" applyFont="1" applyFill="1" applyBorder="1"/>
    <xf numFmtId="3" fontId="32" fillId="20" borderId="0" xfId="0" applyNumberFormat="1" applyFont="1" applyFill="1"/>
    <xf numFmtId="0" fontId="22" fillId="3" borderId="0" xfId="0" applyFont="1" applyFill="1" applyAlignment="1">
      <alignment horizontal="left" wrapText="1"/>
    </xf>
    <xf numFmtId="3" fontId="22" fillId="3" borderId="0" xfId="0" applyNumberFormat="1" applyFont="1" applyFill="1"/>
    <xf numFmtId="3" fontId="16" fillId="3" borderId="0" xfId="0" applyNumberFormat="1" applyFont="1" applyFill="1" applyAlignment="1">
      <alignment horizontal="right" wrapText="1"/>
    </xf>
    <xf numFmtId="2" fontId="16" fillId="3" borderId="0" xfId="0" applyNumberFormat="1" applyFont="1" applyFill="1" applyAlignment="1">
      <alignment horizontal="right" wrapText="1"/>
    </xf>
    <xf numFmtId="0" fontId="36" fillId="3" borderId="0" xfId="0" applyFont="1" applyFill="1" applyAlignment="1">
      <alignment horizontal="left" wrapText="1"/>
    </xf>
    <xf numFmtId="0" fontId="47" fillId="3" borderId="0" xfId="0" applyFont="1" applyFill="1" applyAlignment="1">
      <alignment horizontal="left" wrapText="1"/>
    </xf>
    <xf numFmtId="3" fontId="38" fillId="3" borderId="0" xfId="0" applyNumberFormat="1" applyFont="1" applyFill="1" applyAlignment="1">
      <alignment horizontal="right" wrapText="1"/>
    </xf>
    <xf numFmtId="0" fontId="48" fillId="3" borderId="0" xfId="0" applyFont="1" applyFill="1"/>
    <xf numFmtId="0" fontId="37" fillId="3" borderId="0" xfId="0" applyFont="1" applyFill="1"/>
    <xf numFmtId="0" fontId="36" fillId="3" borderId="0" xfId="0" applyFont="1" applyFill="1"/>
    <xf numFmtId="0" fontId="38" fillId="3" borderId="0" xfId="0" applyFont="1" applyFill="1"/>
    <xf numFmtId="4" fontId="38" fillId="3" borderId="0" xfId="0" applyNumberFormat="1" applyFont="1" applyFill="1" applyAlignment="1">
      <alignment horizontal="right" wrapText="1"/>
    </xf>
    <xf numFmtId="0" fontId="38" fillId="3" borderId="14" xfId="0" applyFont="1" applyFill="1" applyBorder="1" applyAlignment="1">
      <alignment horizontal="left" wrapText="1"/>
    </xf>
    <xf numFmtId="0" fontId="22" fillId="3" borderId="14" xfId="0" applyFont="1" applyFill="1" applyBorder="1" applyAlignment="1">
      <alignment horizontal="left" wrapText="1"/>
    </xf>
    <xf numFmtId="0" fontId="45" fillId="3" borderId="14" xfId="0" applyFont="1" applyFill="1" applyBorder="1" applyAlignment="1">
      <alignment horizontal="left" wrapText="1"/>
    </xf>
    <xf numFmtId="0" fontId="36" fillId="3" borderId="14" xfId="0" applyFont="1" applyFill="1" applyBorder="1" applyAlignment="1">
      <alignment horizontal="left" wrapText="1"/>
    </xf>
    <xf numFmtId="0" fontId="38" fillId="3" borderId="15" xfId="0" applyFont="1" applyFill="1" applyBorder="1"/>
    <xf numFmtId="0" fontId="19" fillId="0" borderId="14" xfId="0" applyFont="1" applyBorder="1"/>
    <xf numFmtId="3" fontId="46" fillId="3" borderId="4" xfId="0" applyNumberFormat="1" applyFont="1" applyFill="1" applyBorder="1" applyAlignment="1">
      <alignment horizontal="right" wrapText="1"/>
    </xf>
    <xf numFmtId="0" fontId="46" fillId="3" borderId="4" xfId="0" applyFont="1" applyFill="1" applyBorder="1"/>
    <xf numFmtId="4" fontId="46" fillId="3" borderId="4" xfId="0" applyNumberFormat="1" applyFont="1" applyFill="1" applyBorder="1" applyAlignment="1">
      <alignment horizontal="right" wrapText="1"/>
    </xf>
    <xf numFmtId="1" fontId="4" fillId="0" borderId="0" xfId="0" applyNumberFormat="1" applyFont="1"/>
    <xf numFmtId="0" fontId="3" fillId="15" borderId="2" xfId="0" applyFont="1" applyFill="1" applyBorder="1" applyAlignment="1">
      <alignment horizontal="center" wrapText="1"/>
    </xf>
    <xf numFmtId="164" fontId="19" fillId="22" borderId="0" xfId="0" applyNumberFormat="1" applyFont="1" applyFill="1"/>
    <xf numFmtId="2" fontId="18" fillId="3" borderId="0" xfId="0" applyNumberFormat="1" applyFont="1" applyFill="1"/>
    <xf numFmtId="0" fontId="19" fillId="10" borderId="12" xfId="0" applyFont="1" applyFill="1" applyBorder="1"/>
    <xf numFmtId="0" fontId="19" fillId="10" borderId="0" xfId="0" applyFont="1" applyFill="1"/>
    <xf numFmtId="0" fontId="45" fillId="0" borderId="0" xfId="0" applyFont="1"/>
    <xf numFmtId="0" fontId="49" fillId="0" borderId="0" xfId="0" applyFont="1"/>
    <xf numFmtId="0" fontId="0" fillId="28" borderId="0" xfId="0" applyFill="1"/>
    <xf numFmtId="0" fontId="31" fillId="28" borderId="0" xfId="0" applyFont="1" applyFill="1"/>
    <xf numFmtId="0" fontId="4" fillId="16" borderId="0" xfId="0" applyFont="1" applyFill="1"/>
    <xf numFmtId="0" fontId="19" fillId="16" borderId="0" xfId="0" applyFont="1" applyFill="1"/>
    <xf numFmtId="0" fontId="18" fillId="16" borderId="0" xfId="0" applyFont="1" applyFill="1"/>
    <xf numFmtId="0" fontId="39" fillId="16" borderId="0" xfId="0" applyFont="1" applyFill="1"/>
    <xf numFmtId="0" fontId="38" fillId="16" borderId="0" xfId="0" applyFont="1" applyFill="1"/>
    <xf numFmtId="0" fontId="21" fillId="16" borderId="0" xfId="0" applyFont="1" applyFill="1"/>
    <xf numFmtId="0" fontId="40" fillId="16" borderId="0" xfId="0" applyFont="1" applyFill="1"/>
    <xf numFmtId="0" fontId="31" fillId="16" borderId="0" xfId="0" applyFont="1" applyFill="1"/>
    <xf numFmtId="0" fontId="0" fillId="12" borderId="0" xfId="0" applyFill="1"/>
    <xf numFmtId="0" fontId="4" fillId="12" borderId="0" xfId="0" applyFont="1" applyFill="1"/>
    <xf numFmtId="0" fontId="19" fillId="12" borderId="0" xfId="0" applyFont="1" applyFill="1"/>
    <xf numFmtId="0" fontId="18" fillId="12" borderId="0" xfId="0" applyFont="1" applyFill="1"/>
    <xf numFmtId="0" fontId="39" fillId="12" borderId="0" xfId="0" applyFont="1" applyFill="1"/>
    <xf numFmtId="0" fontId="38" fillId="12" borderId="0" xfId="0" applyFont="1" applyFill="1"/>
    <xf numFmtId="0" fontId="21" fillId="12" borderId="0" xfId="0" applyFont="1" applyFill="1"/>
    <xf numFmtId="0" fontId="31" fillId="12" borderId="0" xfId="0" applyFont="1" applyFill="1"/>
    <xf numFmtId="0" fontId="0" fillId="13" borderId="0" xfId="0" applyFill="1"/>
    <xf numFmtId="0" fontId="4" fillId="13" borderId="0" xfId="0" applyFont="1" applyFill="1"/>
    <xf numFmtId="0" fontId="19" fillId="13" borderId="0" xfId="0" applyFont="1" applyFill="1"/>
    <xf numFmtId="0" fontId="18" fillId="13" borderId="0" xfId="0" applyFont="1" applyFill="1"/>
    <xf numFmtId="0" fontId="39" fillId="13" borderId="0" xfId="0" applyFont="1" applyFill="1"/>
    <xf numFmtId="0" fontId="38" fillId="13" borderId="0" xfId="0" applyFont="1" applyFill="1"/>
    <xf numFmtId="0" fontId="21" fillId="13" borderId="0" xfId="0" applyFont="1" applyFill="1"/>
    <xf numFmtId="0" fontId="31" fillId="13" borderId="0" xfId="0" applyFont="1" applyFill="1"/>
    <xf numFmtId="0" fontId="0" fillId="26" borderId="0" xfId="0" applyFill="1"/>
    <xf numFmtId="0" fontId="38" fillId="26" borderId="0" xfId="0" applyFont="1" applyFill="1"/>
    <xf numFmtId="0" fontId="20" fillId="7" borderId="0" xfId="0" applyFont="1" applyFill="1" applyAlignment="1">
      <alignment horizontal="center"/>
    </xf>
    <xf numFmtId="0" fontId="23" fillId="7" borderId="27" xfId="0" applyFont="1" applyFill="1" applyBorder="1" applyAlignment="1">
      <alignment horizontal="center"/>
    </xf>
    <xf numFmtId="0" fontId="17" fillId="3" borderId="14" xfId="0" applyFont="1" applyFill="1" applyBorder="1" applyAlignment="1">
      <alignment horizontal="left" wrapText="1"/>
    </xf>
    <xf numFmtId="0" fontId="17" fillId="3" borderId="0" xfId="0" applyFont="1" applyFill="1" applyAlignment="1">
      <alignment horizontal="left" wrapText="1"/>
    </xf>
    <xf numFmtId="0" fontId="10" fillId="3" borderId="3" xfId="0" applyFont="1" applyFill="1" applyBorder="1"/>
    <xf numFmtId="0" fontId="10" fillId="3" borderId="7" xfId="0" applyFont="1" applyFill="1" applyBorder="1"/>
    <xf numFmtId="0" fontId="17" fillId="3" borderId="14" xfId="0" applyFont="1" applyFill="1" applyBorder="1"/>
    <xf numFmtId="0" fontId="10" fillId="3" borderId="15" xfId="0" applyFont="1" applyFill="1" applyBorder="1"/>
    <xf numFmtId="0" fontId="22" fillId="3" borderId="14" xfId="0" applyFont="1" applyFill="1" applyBorder="1"/>
    <xf numFmtId="0" fontId="22" fillId="3" borderId="15" xfId="0" applyFont="1" applyFill="1" applyBorder="1"/>
    <xf numFmtId="0" fontId="36" fillId="3" borderId="14" xfId="0" applyFont="1" applyFill="1" applyBorder="1"/>
    <xf numFmtId="3" fontId="36" fillId="3" borderId="0" xfId="0" applyNumberFormat="1" applyFont="1" applyFill="1"/>
    <xf numFmtId="0" fontId="10" fillId="3" borderId="14" xfId="0" applyFont="1" applyFill="1" applyBorder="1"/>
    <xf numFmtId="0" fontId="45" fillId="3" borderId="5" xfId="0" applyFont="1" applyFill="1" applyBorder="1"/>
    <xf numFmtId="0" fontId="45" fillId="3" borderId="14" xfId="0" applyFont="1" applyFill="1" applyBorder="1"/>
    <xf numFmtId="0" fontId="45" fillId="3" borderId="0" xfId="0" applyFont="1" applyFill="1"/>
    <xf numFmtId="3" fontId="45" fillId="3" borderId="0" xfId="0" applyNumberFormat="1" applyFont="1" applyFill="1"/>
    <xf numFmtId="0" fontId="45" fillId="3" borderId="15" xfId="0" applyFont="1" applyFill="1" applyBorder="1"/>
    <xf numFmtId="0" fontId="49" fillId="3" borderId="0" xfId="0" applyFont="1" applyFill="1"/>
    <xf numFmtId="0" fontId="49" fillId="3" borderId="15" xfId="0" applyFont="1" applyFill="1" applyBorder="1"/>
    <xf numFmtId="0" fontId="49" fillId="3" borderId="4" xfId="0" applyFont="1" applyFill="1" applyBorder="1"/>
    <xf numFmtId="3" fontId="45" fillId="3" borderId="4" xfId="0" applyNumberFormat="1" applyFont="1" applyFill="1" applyBorder="1"/>
    <xf numFmtId="0" fontId="45" fillId="3" borderId="8" xfId="0" applyFont="1" applyFill="1" applyBorder="1"/>
    <xf numFmtId="0" fontId="50" fillId="3" borderId="0" xfId="0" applyFont="1" applyFill="1"/>
    <xf numFmtId="0" fontId="0" fillId="29" borderId="0" xfId="0" applyFill="1"/>
    <xf numFmtId="0" fontId="4" fillId="29" borderId="0" xfId="0" applyFont="1" applyFill="1"/>
    <xf numFmtId="0" fontId="19" fillId="29" borderId="0" xfId="0" applyFont="1" applyFill="1"/>
    <xf numFmtId="0" fontId="18" fillId="29" borderId="0" xfId="0" applyFont="1" applyFill="1"/>
    <xf numFmtId="0" fontId="39" fillId="29" borderId="0" xfId="0" applyFont="1" applyFill="1"/>
    <xf numFmtId="0" fontId="38" fillId="29" borderId="0" xfId="0" applyFont="1" applyFill="1"/>
    <xf numFmtId="0" fontId="21" fillId="29" borderId="0" xfId="0" applyFont="1" applyFill="1"/>
    <xf numFmtId="0" fontId="45" fillId="3" borderId="12" xfId="0" applyFont="1" applyFill="1" applyBorder="1"/>
    <xf numFmtId="0" fontId="25" fillId="3" borderId="0" xfId="1" applyFont="1" applyFill="1" applyBorder="1" applyAlignment="1" applyProtection="1">
      <alignment horizontal="left"/>
    </xf>
    <xf numFmtId="0" fontId="10" fillId="6" borderId="0" xfId="0" applyFont="1" applyFill="1"/>
    <xf numFmtId="0" fontId="22" fillId="6" borderId="0" xfId="0" applyFont="1" applyFill="1"/>
    <xf numFmtId="0" fontId="10" fillId="6" borderId="31" xfId="0" applyFont="1" applyFill="1" applyBorder="1"/>
    <xf numFmtId="164" fontId="1" fillId="22" borderId="0" xfId="0" applyNumberFormat="1" applyFont="1" applyFill="1"/>
    <xf numFmtId="0" fontId="0" fillId="3" borderId="5" xfId="0" applyFill="1" applyBorder="1"/>
    <xf numFmtId="0" fontId="0" fillId="3" borderId="14" xfId="0" applyFill="1" applyBorder="1"/>
    <xf numFmtId="0" fontId="4" fillId="3" borderId="14" xfId="0" applyFont="1" applyFill="1" applyBorder="1"/>
    <xf numFmtId="0" fontId="19" fillId="3" borderId="14" xfId="0" applyFont="1" applyFill="1" applyBorder="1"/>
    <xf numFmtId="0" fontId="18" fillId="3" borderId="6" xfId="0" applyFont="1" applyFill="1" applyBorder="1"/>
    <xf numFmtId="0" fontId="18" fillId="3" borderId="4" xfId="0" applyFont="1" applyFill="1" applyBorder="1"/>
    <xf numFmtId="0" fontId="18" fillId="3" borderId="8" xfId="0" applyFont="1" applyFill="1" applyBorder="1"/>
    <xf numFmtId="9" fontId="5" fillId="3" borderId="0" xfId="0" applyNumberFormat="1" applyFont="1" applyFill="1"/>
    <xf numFmtId="0" fontId="52" fillId="3" borderId="0" xfId="0" applyFont="1" applyFill="1"/>
    <xf numFmtId="9" fontId="18" fillId="6" borderId="26" xfId="2" applyFont="1" applyFill="1" applyBorder="1"/>
    <xf numFmtId="9" fontId="18" fillId="6" borderId="23" xfId="2" applyFont="1" applyFill="1" applyBorder="1"/>
    <xf numFmtId="9" fontId="18" fillId="6" borderId="22" xfId="2" applyFont="1" applyFill="1" applyBorder="1"/>
    <xf numFmtId="2" fontId="39" fillId="6" borderId="22" xfId="0" applyNumberFormat="1" applyFont="1" applyFill="1" applyBorder="1"/>
    <xf numFmtId="0" fontId="53" fillId="0" borderId="0" xfId="0" applyFont="1"/>
    <xf numFmtId="0" fontId="54" fillId="0" borderId="0" xfId="0" applyFont="1"/>
    <xf numFmtId="2" fontId="53" fillId="0" borderId="0" xfId="0" applyNumberFormat="1" applyFont="1"/>
    <xf numFmtId="2" fontId="54" fillId="0" borderId="0" xfId="0" applyNumberFormat="1" applyFont="1"/>
    <xf numFmtId="4" fontId="55" fillId="0" borderId="0" xfId="0" applyNumberFormat="1" applyFont="1"/>
    <xf numFmtId="4" fontId="53" fillId="0" borderId="0" xfId="0" applyNumberFormat="1" applyFont="1"/>
    <xf numFmtId="0" fontId="51" fillId="7" borderId="0" xfId="0" applyFont="1" applyFill="1"/>
    <xf numFmtId="1" fontId="10" fillId="9" borderId="0" xfId="0" applyNumberFormat="1" applyFont="1" applyFill="1"/>
    <xf numFmtId="0" fontId="25" fillId="11" borderId="12" xfId="1" applyFont="1" applyFill="1" applyBorder="1" applyAlignment="1" applyProtection="1">
      <alignment horizontal="left"/>
    </xf>
    <xf numFmtId="0" fontId="25" fillId="11" borderId="0" xfId="1" applyFont="1" applyFill="1" applyBorder="1" applyAlignment="1" applyProtection="1">
      <alignment horizontal="left"/>
    </xf>
    <xf numFmtId="0" fontId="5" fillId="3" borderId="0" xfId="0" applyFont="1" applyFill="1" applyAlignment="1">
      <alignment horizontal="left"/>
    </xf>
    <xf numFmtId="0" fontId="18" fillId="23" borderId="0" xfId="0" applyFont="1" applyFill="1" applyAlignment="1">
      <alignment horizontal="center"/>
    </xf>
    <xf numFmtId="0" fontId="0" fillId="30" borderId="0" xfId="0" applyFill="1"/>
    <xf numFmtId="0" fontId="0" fillId="32" borderId="0" xfId="0" applyFill="1"/>
    <xf numFmtId="0" fontId="3" fillId="32" borderId="13" xfId="0" applyFont="1" applyFill="1" applyBorder="1"/>
    <xf numFmtId="0" fontId="3" fillId="30" borderId="13" xfId="0" applyFont="1" applyFill="1" applyBorder="1"/>
    <xf numFmtId="0" fontId="3" fillId="31" borderId="13" xfId="0" applyFont="1" applyFill="1" applyBorder="1"/>
    <xf numFmtId="0" fontId="19" fillId="17" borderId="0" xfId="0" applyFont="1" applyFill="1"/>
    <xf numFmtId="0" fontId="56" fillId="11" borderId="13" xfId="0" applyFont="1" applyFill="1" applyBorder="1" applyAlignment="1">
      <alignment horizontal="left"/>
    </xf>
    <xf numFmtId="0" fontId="56" fillId="33" borderId="13" xfId="0" applyFont="1" applyFill="1" applyBorder="1"/>
    <xf numFmtId="0" fontId="3" fillId="17" borderId="13" xfId="0" applyFont="1" applyFill="1" applyBorder="1"/>
    <xf numFmtId="0" fontId="3" fillId="18" borderId="13" xfId="0" applyFont="1" applyFill="1" applyBorder="1" applyAlignment="1">
      <alignment horizontal="left"/>
    </xf>
    <xf numFmtId="0" fontId="3" fillId="7" borderId="32" xfId="0" applyFont="1" applyFill="1" applyBorder="1" applyAlignment="1">
      <alignment horizontal="center" wrapText="1"/>
    </xf>
    <xf numFmtId="0" fontId="3" fillId="27" borderId="32" xfId="0" applyFont="1" applyFill="1" applyBorder="1" applyAlignment="1">
      <alignment horizontal="center" wrapText="1"/>
    </xf>
    <xf numFmtId="0" fontId="56" fillId="4" borderId="13" xfId="1" applyFont="1" applyFill="1" applyBorder="1" applyAlignment="1" applyProtection="1">
      <alignment horizontal="left"/>
    </xf>
    <xf numFmtId="0" fontId="13" fillId="2" borderId="10" xfId="0" applyFont="1" applyFill="1" applyBorder="1" applyAlignment="1">
      <alignment horizontal="center"/>
    </xf>
    <xf numFmtId="0" fontId="13" fillId="2" borderId="11" xfId="0" applyFont="1" applyFill="1" applyBorder="1" applyAlignment="1">
      <alignment horizontal="center"/>
    </xf>
    <xf numFmtId="0" fontId="14" fillId="2" borderId="17" xfId="0" applyFont="1" applyFill="1" applyBorder="1" applyAlignment="1">
      <alignment horizontal="center"/>
    </xf>
    <xf numFmtId="9" fontId="1" fillId="0" borderId="0" xfId="2" applyFont="1" applyFill="1" applyBorder="1"/>
    <xf numFmtId="9" fontId="13" fillId="2" borderId="0" xfId="2" applyFont="1" applyFill="1" applyBorder="1" applyAlignment="1">
      <alignment horizontal="center"/>
    </xf>
    <xf numFmtId="9" fontId="13" fillId="2" borderId="11" xfId="2" applyFont="1" applyFill="1" applyBorder="1" applyAlignment="1">
      <alignment horizontal="center"/>
    </xf>
    <xf numFmtId="9" fontId="13" fillId="2" borderId="17" xfId="2" applyFont="1" applyFill="1" applyBorder="1" applyAlignment="1">
      <alignment horizontal="center"/>
    </xf>
    <xf numFmtId="0" fontId="3" fillId="9" borderId="32" xfId="0" applyFont="1" applyFill="1" applyBorder="1" applyAlignment="1">
      <alignment horizontal="center" wrapText="1"/>
    </xf>
    <xf numFmtId="0" fontId="3" fillId="16" borderId="32" xfId="0" applyFont="1" applyFill="1" applyBorder="1" applyAlignment="1">
      <alignment horizontal="center" wrapText="1"/>
    </xf>
    <xf numFmtId="0" fontId="57" fillId="35" borderId="32" xfId="0" applyFont="1" applyFill="1" applyBorder="1"/>
    <xf numFmtId="0" fontId="0" fillId="0" borderId="10" xfId="0" applyBorder="1"/>
    <xf numFmtId="1" fontId="1" fillId="6" borderId="23" xfId="0" applyNumberFormat="1" applyFont="1" applyFill="1" applyBorder="1"/>
    <xf numFmtId="9" fontId="1" fillId="6" borderId="23" xfId="2" applyFont="1" applyFill="1" applyBorder="1"/>
    <xf numFmtId="0" fontId="0" fillId="0" borderId="33" xfId="0" applyBorder="1"/>
    <xf numFmtId="0" fontId="0" fillId="0" borderId="34" xfId="0" applyBorder="1"/>
    <xf numFmtId="0" fontId="0" fillId="0" borderId="35" xfId="0" applyBorder="1"/>
    <xf numFmtId="0" fontId="0" fillId="0" borderId="36" xfId="0" applyBorder="1"/>
    <xf numFmtId="0" fontId="4" fillId="0" borderId="37" xfId="0" applyFont="1" applyBorder="1"/>
    <xf numFmtId="0" fontId="3" fillId="0" borderId="0" xfId="0" applyFont="1" applyAlignment="1">
      <alignment wrapText="1"/>
    </xf>
    <xf numFmtId="0" fontId="19" fillId="11" borderId="11" xfId="0" applyFont="1" applyFill="1" applyBorder="1"/>
    <xf numFmtId="0" fontId="3" fillId="0" borderId="0" xfId="0" applyFont="1" applyAlignment="1">
      <alignment horizontal="right" wrapText="1"/>
    </xf>
    <xf numFmtId="0" fontId="0" fillId="0" borderId="37" xfId="0" applyBorder="1"/>
    <xf numFmtId="0" fontId="0" fillId="0" borderId="39" xfId="0" applyBorder="1"/>
    <xf numFmtId="1" fontId="19" fillId="11" borderId="0" xfId="0" applyNumberFormat="1" applyFont="1" applyFill="1"/>
    <xf numFmtId="2" fontId="35" fillId="11" borderId="0" xfId="0" applyNumberFormat="1" applyFont="1" applyFill="1"/>
    <xf numFmtId="3" fontId="19" fillId="11" borderId="0" xfId="0" applyNumberFormat="1" applyFont="1" applyFill="1"/>
    <xf numFmtId="3" fontId="35" fillId="6" borderId="22" xfId="0" applyNumberFormat="1" applyFont="1" applyFill="1" applyBorder="1"/>
    <xf numFmtId="1" fontId="1" fillId="0" borderId="37" xfId="0" applyNumberFormat="1" applyFont="1" applyBorder="1"/>
    <xf numFmtId="0" fontId="3" fillId="0" borderId="33" xfId="0" applyFont="1" applyBorder="1" applyAlignment="1">
      <alignment wrapText="1"/>
    </xf>
    <xf numFmtId="0" fontId="1" fillId="3" borderId="0" xfId="0" applyFont="1" applyFill="1"/>
    <xf numFmtId="0" fontId="4" fillId="3" borderId="0" xfId="0" applyFont="1" applyFill="1"/>
    <xf numFmtId="2" fontId="1" fillId="3" borderId="0" xfId="0" applyNumberFormat="1" applyFont="1" applyFill="1"/>
    <xf numFmtId="0" fontId="17" fillId="3" borderId="0" xfId="0" quotePrefix="1" applyFont="1" applyFill="1" applyAlignment="1">
      <alignment horizontal="left"/>
    </xf>
    <xf numFmtId="164" fontId="1" fillId="3" borderId="0" xfId="0" applyNumberFormat="1" applyFont="1" applyFill="1"/>
    <xf numFmtId="0" fontId="41" fillId="36" borderId="0" xfId="0" applyFont="1" applyFill="1"/>
    <xf numFmtId="164" fontId="4" fillId="36" borderId="0" xfId="0" applyNumberFormat="1" applyFont="1" applyFill="1"/>
    <xf numFmtId="164" fontId="4" fillId="3" borderId="0" xfId="0" applyNumberFormat="1" applyFont="1" applyFill="1"/>
    <xf numFmtId="4" fontId="4" fillId="3" borderId="0" xfId="0" applyNumberFormat="1" applyFont="1" applyFill="1"/>
    <xf numFmtId="0" fontId="17" fillId="3" borderId="0" xfId="0" applyFont="1" applyFill="1"/>
    <xf numFmtId="0" fontId="11" fillId="3" borderId="0" xfId="0" applyFont="1" applyFill="1"/>
    <xf numFmtId="0" fontId="54" fillId="3" borderId="0" xfId="1" applyFont="1" applyFill="1" applyBorder="1" applyAlignment="1" applyProtection="1">
      <alignment horizontal="left"/>
    </xf>
    <xf numFmtId="1" fontId="54" fillId="0" borderId="0" xfId="0" applyNumberFormat="1" applyFont="1"/>
    <xf numFmtId="1" fontId="53" fillId="0" borderId="0" xfId="0" applyNumberFormat="1" applyFont="1"/>
    <xf numFmtId="0" fontId="59" fillId="0" borderId="0" xfId="0" applyFont="1"/>
    <xf numFmtId="4" fontId="54" fillId="0" borderId="0" xfId="0" applyNumberFormat="1" applyFont="1"/>
    <xf numFmtId="3" fontId="54" fillId="0" borderId="0" xfId="0" applyNumberFormat="1" applyFont="1"/>
    <xf numFmtId="0" fontId="4" fillId="32" borderId="0" xfId="0" applyFont="1" applyFill="1"/>
    <xf numFmtId="0" fontId="19" fillId="32" borderId="0" xfId="0" applyFont="1" applyFill="1"/>
    <xf numFmtId="0" fontId="18" fillId="32" borderId="0" xfId="0" applyFont="1" applyFill="1"/>
    <xf numFmtId="0" fontId="39" fillId="32" borderId="0" xfId="0" applyFont="1" applyFill="1"/>
    <xf numFmtId="0" fontId="38" fillId="32" borderId="0" xfId="0" applyFont="1" applyFill="1"/>
    <xf numFmtId="0" fontId="21" fillId="32" borderId="0" xfId="0" applyFont="1" applyFill="1"/>
    <xf numFmtId="0" fontId="40" fillId="32" borderId="0" xfId="0" applyFont="1" applyFill="1"/>
    <xf numFmtId="0" fontId="31" fillId="32" borderId="0" xfId="0" applyFont="1" applyFill="1"/>
    <xf numFmtId="0" fontId="26" fillId="3" borderId="0" xfId="1" applyFont="1" applyFill="1" applyAlignment="1" applyProtection="1"/>
    <xf numFmtId="0" fontId="26" fillId="3" borderId="0" xfId="1" applyFont="1" applyFill="1" applyAlignment="1" applyProtection="1">
      <alignment horizontal="center"/>
    </xf>
    <xf numFmtId="0" fontId="4" fillId="0" borderId="0" xfId="0" applyFont="1" applyAlignment="1">
      <alignment horizontal="left"/>
    </xf>
    <xf numFmtId="2" fontId="0" fillId="7" borderId="0" xfId="0" applyNumberFormat="1" applyFill="1"/>
    <xf numFmtId="0" fontId="8" fillId="3" borderId="0" xfId="0" applyFont="1" applyFill="1"/>
    <xf numFmtId="1" fontId="10" fillId="3" borderId="0" xfId="0" applyNumberFormat="1" applyFont="1" applyFill="1"/>
    <xf numFmtId="0" fontId="60" fillId="5" borderId="0" xfId="0" applyFont="1" applyFill="1"/>
    <xf numFmtId="0" fontId="37" fillId="5" borderId="0" xfId="0" applyFont="1" applyFill="1"/>
    <xf numFmtId="0" fontId="4" fillId="30" borderId="0" xfId="0" applyFont="1" applyFill="1"/>
    <xf numFmtId="0" fontId="19" fillId="30" borderId="0" xfId="0" applyFont="1" applyFill="1"/>
    <xf numFmtId="0" fontId="18" fillId="30" borderId="0" xfId="0" applyFont="1" applyFill="1"/>
    <xf numFmtId="0" fontId="39" fillId="30" borderId="0" xfId="0" applyFont="1" applyFill="1"/>
    <xf numFmtId="0" fontId="38" fillId="30" borderId="0" xfId="0" applyFont="1" applyFill="1"/>
    <xf numFmtId="0" fontId="21" fillId="30" borderId="0" xfId="0" applyFont="1" applyFill="1"/>
    <xf numFmtId="0" fontId="40" fillId="30" borderId="0" xfId="0" applyFont="1" applyFill="1"/>
    <xf numFmtId="0" fontId="31" fillId="30" borderId="0" xfId="0" applyFont="1" applyFill="1"/>
    <xf numFmtId="3" fontId="19" fillId="6" borderId="23" xfId="0" applyNumberFormat="1" applyFont="1" applyFill="1" applyBorder="1"/>
    <xf numFmtId="0" fontId="0" fillId="27" borderId="0" xfId="0" applyFill="1"/>
    <xf numFmtId="0" fontId="4" fillId="27" borderId="0" xfId="0" applyFont="1" applyFill="1"/>
    <xf numFmtId="0" fontId="19" fillId="27" borderId="0" xfId="0" applyFont="1" applyFill="1"/>
    <xf numFmtId="0" fontId="18" fillId="27" borderId="0" xfId="0" applyFont="1" applyFill="1"/>
    <xf numFmtId="0" fontId="39" fillId="27" borderId="0" xfId="0" applyFont="1" applyFill="1"/>
    <xf numFmtId="0" fontId="38" fillId="27" borderId="0" xfId="0" applyFont="1" applyFill="1"/>
    <xf numFmtId="0" fontId="21" fillId="27" borderId="0" xfId="0" applyFont="1" applyFill="1"/>
    <xf numFmtId="0" fontId="31" fillId="27" borderId="0" xfId="0" applyFont="1" applyFill="1"/>
    <xf numFmtId="165" fontId="1" fillId="6" borderId="22" xfId="0" applyNumberFormat="1" applyFont="1" applyFill="1" applyBorder="1"/>
    <xf numFmtId="0" fontId="0" fillId="17" borderId="0" xfId="0" applyFill="1"/>
    <xf numFmtId="0" fontId="4" fillId="17" borderId="0" xfId="0" applyFont="1" applyFill="1"/>
    <xf numFmtId="0" fontId="18" fillId="17" borderId="0" xfId="0" applyFont="1" applyFill="1"/>
    <xf numFmtId="0" fontId="39" fillId="17" borderId="0" xfId="0" applyFont="1" applyFill="1"/>
    <xf numFmtId="0" fontId="38" fillId="17" borderId="0" xfId="0" applyFont="1" applyFill="1"/>
    <xf numFmtId="0" fontId="21" fillId="17" borderId="0" xfId="0" applyFont="1" applyFill="1"/>
    <xf numFmtId="0" fontId="31" fillId="17" borderId="0" xfId="0" applyFont="1" applyFill="1"/>
    <xf numFmtId="0" fontId="61" fillId="3" borderId="14" xfId="1" applyFont="1" applyFill="1" applyBorder="1" applyAlignment="1" applyProtection="1"/>
    <xf numFmtId="0" fontId="54" fillId="0" borderId="0" xfId="1" applyFont="1" applyFill="1" applyBorder="1" applyAlignment="1" applyProtection="1">
      <alignment horizontal="left"/>
    </xf>
    <xf numFmtId="0" fontId="19" fillId="9" borderId="0" xfId="0" applyFont="1" applyFill="1"/>
    <xf numFmtId="0" fontId="18" fillId="9" borderId="0" xfId="0" applyFont="1" applyFill="1"/>
    <xf numFmtId="0" fontId="39" fillId="9" borderId="0" xfId="0" applyFont="1" applyFill="1"/>
    <xf numFmtId="0" fontId="38" fillId="9" borderId="0" xfId="0" applyFont="1" applyFill="1"/>
    <xf numFmtId="0" fontId="21" fillId="9" borderId="0" xfId="0" applyFont="1" applyFill="1"/>
    <xf numFmtId="0" fontId="31" fillId="9" borderId="0" xfId="0" applyFont="1" applyFill="1"/>
    <xf numFmtId="0" fontId="25" fillId="0" borderId="14" xfId="1" applyFont="1" applyFill="1" applyBorder="1" applyAlignment="1" applyProtection="1"/>
    <xf numFmtId="165" fontId="16" fillId="3" borderId="0" xfId="0" applyNumberFormat="1" applyFont="1" applyFill="1" applyAlignment="1">
      <alignment horizontal="right" wrapText="1"/>
    </xf>
    <xf numFmtId="165" fontId="16" fillId="3" borderId="0" xfId="0" applyNumberFormat="1" applyFont="1" applyFill="1"/>
    <xf numFmtId="165" fontId="42" fillId="3" borderId="0" xfId="0" applyNumberFormat="1" applyFont="1" applyFill="1"/>
    <xf numFmtId="165" fontId="10" fillId="3" borderId="0" xfId="0" applyNumberFormat="1" applyFont="1" applyFill="1"/>
    <xf numFmtId="165" fontId="42" fillId="3" borderId="0" xfId="0" applyNumberFormat="1" applyFont="1" applyFill="1" applyAlignment="1">
      <alignment horizontal="right" wrapText="1"/>
    </xf>
    <xf numFmtId="165" fontId="46" fillId="3" borderId="0" xfId="0" applyNumberFormat="1" applyFont="1" applyFill="1" applyAlignment="1">
      <alignment horizontal="right" wrapText="1"/>
    </xf>
    <xf numFmtId="165" fontId="18" fillId="3" borderId="0" xfId="0" applyNumberFormat="1" applyFont="1" applyFill="1"/>
    <xf numFmtId="165" fontId="38" fillId="3" borderId="0" xfId="0" applyNumberFormat="1" applyFont="1" applyFill="1" applyAlignment="1">
      <alignment horizontal="right" wrapText="1"/>
    </xf>
    <xf numFmtId="166" fontId="46" fillId="3" borderId="4" xfId="0" applyNumberFormat="1" applyFont="1" applyFill="1" applyBorder="1" applyAlignment="1">
      <alignment horizontal="right" wrapText="1"/>
    </xf>
    <xf numFmtId="0" fontId="33" fillId="3" borderId="0" xfId="0" applyFont="1" applyFill="1"/>
    <xf numFmtId="0" fontId="33" fillId="3" borderId="11" xfId="0" applyFont="1" applyFill="1" applyBorder="1"/>
    <xf numFmtId="0" fontId="33" fillId="0" borderId="0" xfId="0" applyFont="1"/>
    <xf numFmtId="3" fontId="15" fillId="3" borderId="0" xfId="0" applyNumberFormat="1" applyFont="1" applyFill="1"/>
    <xf numFmtId="0" fontId="10" fillId="26" borderId="0" xfId="0" applyFont="1" applyFill="1"/>
    <xf numFmtId="0" fontId="37" fillId="26" borderId="0" xfId="0" applyFont="1" applyFill="1"/>
    <xf numFmtId="0" fontId="22" fillId="26" borderId="0" xfId="0" applyFont="1" applyFill="1"/>
    <xf numFmtId="0" fontId="16" fillId="26" borderId="0" xfId="0" applyFont="1" applyFill="1"/>
    <xf numFmtId="0" fontId="62" fillId="26" borderId="0" xfId="0" applyFont="1" applyFill="1"/>
    <xf numFmtId="1" fontId="0" fillId="15" borderId="0" xfId="0" applyNumberFormat="1" applyFill="1"/>
    <xf numFmtId="2" fontId="0" fillId="15" borderId="0" xfId="0" applyNumberFormat="1" applyFill="1"/>
    <xf numFmtId="2" fontId="4" fillId="15" borderId="0" xfId="0" applyNumberFormat="1" applyFont="1" applyFill="1"/>
    <xf numFmtId="3" fontId="59" fillId="0" borderId="0" xfId="0" applyNumberFormat="1" applyFont="1"/>
    <xf numFmtId="0" fontId="3" fillId="13" borderId="32" xfId="0" applyFont="1" applyFill="1" applyBorder="1" applyAlignment="1">
      <alignment horizontal="center" wrapText="1"/>
    </xf>
    <xf numFmtId="0" fontId="3" fillId="23" borderId="0" xfId="0" applyFont="1" applyFill="1"/>
    <xf numFmtId="0" fontId="5" fillId="16" borderId="0" xfId="0" applyFont="1" applyFill="1"/>
    <xf numFmtId="0" fontId="1" fillId="16" borderId="0" xfId="0" applyFont="1" applyFill="1"/>
    <xf numFmtId="2" fontId="1" fillId="16" borderId="0" xfId="0" applyNumberFormat="1" applyFont="1" applyFill="1"/>
    <xf numFmtId="0" fontId="1" fillId="16" borderId="22" xfId="0" applyFont="1" applyFill="1" applyBorder="1"/>
    <xf numFmtId="2" fontId="1" fillId="16" borderId="22" xfId="0" applyNumberFormat="1" applyFont="1" applyFill="1" applyBorder="1"/>
    <xf numFmtId="1" fontId="0" fillId="16" borderId="0" xfId="0" applyNumberFormat="1" applyFill="1"/>
    <xf numFmtId="2" fontId="4" fillId="16" borderId="0" xfId="0" applyNumberFormat="1" applyFont="1" applyFill="1"/>
    <xf numFmtId="1" fontId="4" fillId="16" borderId="0" xfId="0" applyNumberFormat="1" applyFont="1" applyFill="1"/>
    <xf numFmtId="0" fontId="0" fillId="37" borderId="0" xfId="0" applyFill="1"/>
    <xf numFmtId="0" fontId="5" fillId="37" borderId="0" xfId="0" applyFont="1" applyFill="1"/>
    <xf numFmtId="0" fontId="1" fillId="37" borderId="0" xfId="0" applyFont="1" applyFill="1"/>
    <xf numFmtId="2" fontId="1" fillId="37" borderId="0" xfId="0" applyNumberFormat="1" applyFont="1" applyFill="1"/>
    <xf numFmtId="0" fontId="1" fillId="37" borderId="22" xfId="0" applyFont="1" applyFill="1" applyBorder="1"/>
    <xf numFmtId="2" fontId="1" fillId="37" borderId="22" xfId="0" applyNumberFormat="1" applyFont="1" applyFill="1" applyBorder="1"/>
    <xf numFmtId="1" fontId="0" fillId="37" borderId="0" xfId="0" applyNumberFormat="1" applyFill="1"/>
    <xf numFmtId="0" fontId="1" fillId="37" borderId="23" xfId="0" applyFont="1" applyFill="1" applyBorder="1"/>
    <xf numFmtId="2" fontId="1" fillId="37" borderId="23" xfId="0" applyNumberFormat="1" applyFont="1" applyFill="1" applyBorder="1"/>
    <xf numFmtId="0" fontId="4" fillId="37" borderId="0" xfId="0" applyFont="1" applyFill="1"/>
    <xf numFmtId="2" fontId="4" fillId="37" borderId="0" xfId="0" applyNumberFormat="1" applyFont="1" applyFill="1"/>
    <xf numFmtId="1" fontId="4" fillId="37" borderId="0" xfId="0" applyNumberFormat="1" applyFont="1" applyFill="1"/>
    <xf numFmtId="2" fontId="1" fillId="22" borderId="22" xfId="0" applyNumberFormat="1" applyFont="1" applyFill="1" applyBorder="1"/>
    <xf numFmtId="0" fontId="0" fillId="33" borderId="0" xfId="0" applyFill="1"/>
    <xf numFmtId="0" fontId="4" fillId="33" borderId="0" xfId="0" applyFont="1" applyFill="1"/>
    <xf numFmtId="0" fontId="18" fillId="33" borderId="0" xfId="0" applyFont="1" applyFill="1"/>
    <xf numFmtId="0" fontId="19" fillId="33" borderId="0" xfId="0" applyFont="1" applyFill="1"/>
    <xf numFmtId="0" fontId="39" fillId="33" borderId="0" xfId="0" applyFont="1" applyFill="1"/>
    <xf numFmtId="0" fontId="38" fillId="33" borderId="0" xfId="0" applyFont="1" applyFill="1"/>
    <xf numFmtId="0" fontId="21" fillId="33" borderId="0" xfId="0" applyFont="1" applyFill="1"/>
    <xf numFmtId="0" fontId="31" fillId="33" borderId="0" xfId="0" applyFont="1" applyFill="1"/>
    <xf numFmtId="0" fontId="4" fillId="11" borderId="0" xfId="0" applyFont="1" applyFill="1"/>
    <xf numFmtId="0" fontId="18" fillId="11" borderId="0" xfId="0" applyFont="1" applyFill="1"/>
    <xf numFmtId="0" fontId="39" fillId="11" borderId="0" xfId="0" applyFont="1" applyFill="1"/>
    <xf numFmtId="0" fontId="38" fillId="11" borderId="0" xfId="0" applyFont="1" applyFill="1"/>
    <xf numFmtId="0" fontId="21" fillId="11" borderId="0" xfId="0" applyFont="1" applyFill="1"/>
    <xf numFmtId="0" fontId="31" fillId="11" borderId="0" xfId="0" applyFont="1" applyFill="1"/>
    <xf numFmtId="1" fontId="59" fillId="0" borderId="0" xfId="0" applyNumberFormat="1" applyFont="1"/>
    <xf numFmtId="0" fontId="63" fillId="0" borderId="0" xfId="0" applyFont="1"/>
    <xf numFmtId="0" fontId="0" fillId="18" borderId="0" xfId="0" applyFill="1"/>
    <xf numFmtId="0" fontId="4" fillId="18" borderId="0" xfId="0" applyFont="1" applyFill="1"/>
    <xf numFmtId="0" fontId="18" fillId="18" borderId="0" xfId="0" applyFont="1" applyFill="1"/>
    <xf numFmtId="0" fontId="19" fillId="18" borderId="0" xfId="0" applyFont="1" applyFill="1"/>
    <xf numFmtId="0" fontId="39" fillId="18" borderId="0" xfId="0" applyFont="1" applyFill="1"/>
    <xf numFmtId="0" fontId="38" fillId="18" borderId="0" xfId="0" applyFont="1" applyFill="1"/>
    <xf numFmtId="0" fontId="21" fillId="18" borderId="0" xfId="0" applyFont="1" applyFill="1"/>
    <xf numFmtId="0" fontId="31" fillId="18" borderId="0" xfId="0" applyFont="1" applyFill="1"/>
    <xf numFmtId="167" fontId="1" fillId="6" borderId="23" xfId="2" applyNumberFormat="1" applyFont="1" applyFill="1" applyBorder="1"/>
    <xf numFmtId="4" fontId="46" fillId="3" borderId="0" xfId="0" applyNumberFormat="1" applyFont="1" applyFill="1" applyAlignment="1">
      <alignment horizontal="right" wrapText="1"/>
    </xf>
    <xf numFmtId="166" fontId="46" fillId="3" borderId="0" xfId="0" applyNumberFormat="1" applyFont="1" applyFill="1" applyAlignment="1">
      <alignment horizontal="right" wrapText="1"/>
    </xf>
    <xf numFmtId="0" fontId="0" fillId="38" borderId="0" xfId="0" applyFill="1"/>
    <xf numFmtId="0" fontId="4" fillId="38" borderId="0" xfId="0" applyFont="1" applyFill="1"/>
    <xf numFmtId="0" fontId="18" fillId="38" borderId="0" xfId="0" applyFont="1" applyFill="1"/>
    <xf numFmtId="0" fontId="19" fillId="38" borderId="0" xfId="0" applyFont="1" applyFill="1"/>
    <xf numFmtId="0" fontId="39" fillId="38" borderId="0" xfId="0" applyFont="1" applyFill="1"/>
    <xf numFmtId="0" fontId="38" fillId="38" borderId="0" xfId="0" applyFont="1" applyFill="1"/>
    <xf numFmtId="0" fontId="21" fillId="38" borderId="0" xfId="0" applyFont="1" applyFill="1"/>
    <xf numFmtId="0" fontId="40" fillId="38" borderId="0" xfId="0" applyFont="1" applyFill="1"/>
    <xf numFmtId="0" fontId="31" fillId="38" borderId="0" xfId="0" applyFont="1" applyFill="1"/>
    <xf numFmtId="0" fontId="0" fillId="39" borderId="0" xfId="0" applyFill="1"/>
    <xf numFmtId="0" fontId="4" fillId="39" borderId="0" xfId="0" applyFont="1" applyFill="1"/>
    <xf numFmtId="0" fontId="18" fillId="39" borderId="0" xfId="0" applyFont="1" applyFill="1"/>
    <xf numFmtId="0" fontId="19" fillId="39" borderId="0" xfId="0" applyFont="1" applyFill="1"/>
    <xf numFmtId="0" fontId="39" fillId="39" borderId="0" xfId="0" applyFont="1" applyFill="1"/>
    <xf numFmtId="0" fontId="38" fillId="39" borderId="0" xfId="0" applyFont="1" applyFill="1"/>
    <xf numFmtId="0" fontId="21" fillId="39" borderId="0" xfId="0" applyFont="1" applyFill="1"/>
    <xf numFmtId="0" fontId="31" fillId="39" borderId="0" xfId="0" applyFont="1" applyFill="1"/>
    <xf numFmtId="166" fontId="38" fillId="3" borderId="0" xfId="0" applyNumberFormat="1" applyFont="1" applyFill="1" applyAlignment="1">
      <alignment horizontal="right" wrapText="1"/>
    </xf>
    <xf numFmtId="0" fontId="3" fillId="38" borderId="13" xfId="0" applyFont="1" applyFill="1" applyBorder="1"/>
    <xf numFmtId="0" fontId="35" fillId="6" borderId="22" xfId="0" applyFont="1" applyFill="1" applyBorder="1"/>
    <xf numFmtId="0" fontId="65" fillId="0" borderId="0" xfId="0" applyFont="1"/>
    <xf numFmtId="0" fontId="56" fillId="10" borderId="13" xfId="0" applyFont="1" applyFill="1" applyBorder="1"/>
    <xf numFmtId="1" fontId="65" fillId="0" borderId="0" xfId="0" applyNumberFormat="1" applyFont="1"/>
    <xf numFmtId="1" fontId="65" fillId="6" borderId="23" xfId="0" applyNumberFormat="1" applyFont="1" applyFill="1" applyBorder="1"/>
    <xf numFmtId="9" fontId="65" fillId="6" borderId="23" xfId="2" applyFont="1" applyFill="1" applyBorder="1"/>
    <xf numFmtId="9" fontId="65" fillId="0" borderId="12" xfId="2" applyFont="1" applyFill="1" applyBorder="1"/>
    <xf numFmtId="9" fontId="65" fillId="0" borderId="0" xfId="2" applyFont="1" applyFill="1" applyBorder="1"/>
    <xf numFmtId="9" fontId="65" fillId="2" borderId="11" xfId="2" applyFont="1" applyFill="1" applyBorder="1" applyAlignment="1">
      <alignment horizontal="center"/>
    </xf>
    <xf numFmtId="1" fontId="65" fillId="0" borderId="12" xfId="0" applyNumberFormat="1" applyFont="1" applyBorder="1"/>
    <xf numFmtId="1" fontId="65" fillId="0" borderId="11" xfId="0" applyNumberFormat="1" applyFont="1" applyBorder="1"/>
    <xf numFmtId="9" fontId="65" fillId="2" borderId="0" xfId="2" applyFont="1" applyFill="1" applyBorder="1" applyAlignment="1">
      <alignment horizontal="center"/>
    </xf>
    <xf numFmtId="0" fontId="35" fillId="11" borderId="12" xfId="0" applyFont="1" applyFill="1" applyBorder="1"/>
    <xf numFmtId="0" fontId="35" fillId="11" borderId="0" xfId="0" applyFont="1" applyFill="1"/>
    <xf numFmtId="0" fontId="65" fillId="11" borderId="0" xfId="0" applyFont="1" applyFill="1"/>
    <xf numFmtId="0" fontId="65" fillId="11" borderId="11" xfId="0" applyFont="1" applyFill="1" applyBorder="1"/>
    <xf numFmtId="1" fontId="35" fillId="6" borderId="22" xfId="0" applyNumberFormat="1" applyFont="1" applyFill="1" applyBorder="1"/>
    <xf numFmtId="3" fontId="35" fillId="11" borderId="0" xfId="0" applyNumberFormat="1" applyFont="1" applyFill="1"/>
    <xf numFmtId="0" fontId="65" fillId="0" borderId="40" xfId="0" applyFont="1" applyBorder="1"/>
    <xf numFmtId="1" fontId="65" fillId="6" borderId="38" xfId="0" applyNumberFormat="1" applyFont="1" applyFill="1" applyBorder="1"/>
    <xf numFmtId="164" fontId="65" fillId="0" borderId="0" xfId="0" applyNumberFormat="1" applyFont="1"/>
    <xf numFmtId="0" fontId="19" fillId="3" borderId="0" xfId="0" applyFont="1" applyFill="1" applyAlignment="1">
      <alignment wrapText="1"/>
    </xf>
    <xf numFmtId="0" fontId="19" fillId="3" borderId="11" xfId="0" applyFont="1" applyFill="1" applyBorder="1" applyAlignment="1">
      <alignment wrapText="1"/>
    </xf>
    <xf numFmtId="0" fontId="55" fillId="0" borderId="0" xfId="0" applyFont="1"/>
    <xf numFmtId="0" fontId="0" fillId="34" borderId="0" xfId="0" applyFill="1"/>
    <xf numFmtId="0" fontId="19" fillId="5" borderId="0" xfId="0" applyFont="1" applyFill="1"/>
    <xf numFmtId="0" fontId="39" fillId="5" borderId="0" xfId="0" applyFont="1" applyFill="1"/>
    <xf numFmtId="0" fontId="38" fillId="5" borderId="0" xfId="0" applyFont="1" applyFill="1"/>
    <xf numFmtId="0" fontId="21" fillId="5" borderId="0" xfId="0" applyFont="1" applyFill="1"/>
    <xf numFmtId="0" fontId="40" fillId="5" borderId="0" xfId="0" applyFont="1" applyFill="1"/>
    <xf numFmtId="0" fontId="31" fillId="5" borderId="0" xfId="0" applyFont="1" applyFill="1"/>
    <xf numFmtId="0" fontId="4" fillId="34" borderId="0" xfId="0" applyFont="1" applyFill="1"/>
    <xf numFmtId="0" fontId="18" fillId="34" borderId="0" xfId="0" applyFont="1" applyFill="1"/>
    <xf numFmtId="0" fontId="19" fillId="34" borderId="0" xfId="0" applyFont="1" applyFill="1"/>
    <xf numFmtId="0" fontId="39" fillId="34" borderId="0" xfId="0" applyFont="1" applyFill="1"/>
    <xf numFmtId="0" fontId="38" fillId="34" borderId="0" xfId="0" applyFont="1" applyFill="1"/>
    <xf numFmtId="0" fontId="21" fillId="34" borderId="0" xfId="0" applyFont="1" applyFill="1"/>
    <xf numFmtId="0" fontId="40" fillId="34" borderId="0" xfId="0" applyFont="1" applyFill="1"/>
    <xf numFmtId="0" fontId="31" fillId="34" borderId="0" xfId="0" applyFont="1" applyFill="1"/>
    <xf numFmtId="0" fontId="39" fillId="20" borderId="0" xfId="0" applyFont="1" applyFill="1"/>
    <xf numFmtId="0" fontId="38" fillId="20" borderId="0" xfId="0" applyFont="1" applyFill="1"/>
    <xf numFmtId="0" fontId="21" fillId="20" borderId="0" xfId="0" applyFont="1" applyFill="1"/>
    <xf numFmtId="0" fontId="40" fillId="20" borderId="0" xfId="0" applyFont="1" applyFill="1"/>
    <xf numFmtId="0" fontId="0" fillId="14" borderId="0" xfId="0" applyFill="1"/>
    <xf numFmtId="0" fontId="4" fillId="14" borderId="0" xfId="0" applyFont="1" applyFill="1"/>
    <xf numFmtId="0" fontId="18" fillId="14" borderId="0" xfId="0" applyFont="1" applyFill="1"/>
    <xf numFmtId="0" fontId="19" fillId="14" borderId="0" xfId="0" applyFont="1" applyFill="1"/>
    <xf numFmtId="0" fontId="39" fillId="14" borderId="0" xfId="0" applyFont="1" applyFill="1"/>
    <xf numFmtId="0" fontId="38" fillId="14" borderId="0" xfId="0" applyFont="1" applyFill="1"/>
    <xf numFmtId="0" fontId="21" fillId="14" borderId="0" xfId="0" applyFont="1" applyFill="1"/>
    <xf numFmtId="0" fontId="40" fillId="14" borderId="0" xfId="0" applyFont="1" applyFill="1"/>
    <xf numFmtId="0" fontId="31" fillId="14" borderId="0" xfId="0" applyFont="1" applyFill="1"/>
    <xf numFmtId="0" fontId="40" fillId="27" borderId="0" xfId="0" applyFont="1" applyFill="1"/>
    <xf numFmtId="0" fontId="31" fillId="20" borderId="0" xfId="0" applyFont="1" applyFill="1"/>
    <xf numFmtId="0" fontId="3" fillId="34" borderId="13" xfId="0" applyFont="1" applyFill="1" applyBorder="1"/>
    <xf numFmtId="0" fontId="3" fillId="20" borderId="13" xfId="0" applyFont="1" applyFill="1" applyBorder="1"/>
    <xf numFmtId="0" fontId="3" fillId="27" borderId="13" xfId="0" applyFont="1" applyFill="1" applyBorder="1"/>
    <xf numFmtId="0" fontId="3" fillId="14" borderId="13" xfId="0" applyFont="1" applyFill="1" applyBorder="1"/>
    <xf numFmtId="164" fontId="18" fillId="6" borderId="22" xfId="0" applyNumberFormat="1" applyFont="1" applyFill="1" applyBorder="1"/>
    <xf numFmtId="164" fontId="18" fillId="3" borderId="0" xfId="0" applyNumberFormat="1" applyFont="1" applyFill="1"/>
    <xf numFmtId="164" fontId="19" fillId="3" borderId="22" xfId="0" applyNumberFormat="1" applyFont="1" applyFill="1" applyBorder="1"/>
    <xf numFmtId="0" fontId="22" fillId="4" borderId="0" xfId="1" applyFont="1" applyFill="1" applyBorder="1" applyAlignment="1" applyProtection="1">
      <alignment horizontal="left"/>
    </xf>
    <xf numFmtId="3" fontId="19" fillId="3" borderId="22" xfId="0" applyNumberFormat="1" applyFont="1" applyFill="1" applyBorder="1"/>
    <xf numFmtId="164" fontId="19" fillId="42" borderId="23" xfId="0" applyNumberFormat="1" applyFont="1" applyFill="1" applyBorder="1"/>
    <xf numFmtId="0" fontId="22" fillId="12" borderId="12" xfId="1" applyFont="1" applyFill="1" applyBorder="1" applyAlignment="1" applyProtection="1">
      <alignment horizontal="left"/>
    </xf>
    <xf numFmtId="0" fontId="22" fillId="19" borderId="12" xfId="1" applyFont="1" applyFill="1" applyBorder="1" applyAlignment="1" applyProtection="1"/>
    <xf numFmtId="0" fontId="22" fillId="13" borderId="12" xfId="1" applyFont="1" applyFill="1" applyBorder="1" applyAlignment="1" applyProtection="1"/>
    <xf numFmtId="164" fontId="19" fillId="42" borderId="22" xfId="0" applyNumberFormat="1" applyFont="1" applyFill="1" applyBorder="1"/>
    <xf numFmtId="0" fontId="19" fillId="43" borderId="0" xfId="0" applyFont="1" applyFill="1"/>
    <xf numFmtId="0" fontId="19" fillId="28" borderId="0" xfId="0" applyFont="1" applyFill="1"/>
    <xf numFmtId="0" fontId="66" fillId="0" borderId="0" xfId="1" applyFont="1" applyAlignment="1" applyProtection="1">
      <alignment horizontal="center" vertical="center"/>
    </xf>
    <xf numFmtId="3" fontId="19" fillId="42" borderId="22" xfId="0" applyNumberFormat="1" applyFont="1" applyFill="1" applyBorder="1"/>
    <xf numFmtId="3" fontId="19" fillId="42" borderId="23" xfId="0" applyNumberFormat="1" applyFont="1" applyFill="1" applyBorder="1"/>
    <xf numFmtId="0" fontId="30" fillId="24" borderId="0" xfId="0" applyFont="1" applyFill="1"/>
    <xf numFmtId="0" fontId="40" fillId="33" borderId="0" xfId="0" applyFont="1" applyFill="1"/>
    <xf numFmtId="0" fontId="3" fillId="33" borderId="13" xfId="0" applyFont="1" applyFill="1" applyBorder="1"/>
    <xf numFmtId="0" fontId="67" fillId="0" borderId="0" xfId="0" applyFont="1"/>
    <xf numFmtId="1" fontId="67" fillId="0" borderId="0" xfId="0" applyNumberFormat="1" applyFont="1"/>
    <xf numFmtId="1" fontId="67" fillId="6" borderId="23" xfId="0" applyNumberFormat="1" applyFont="1" applyFill="1" applyBorder="1"/>
    <xf numFmtId="9" fontId="67" fillId="6" borderId="23" xfId="2" applyFont="1" applyFill="1" applyBorder="1"/>
    <xf numFmtId="9" fontId="67" fillId="0" borderId="0" xfId="2" applyFont="1" applyFill="1" applyBorder="1"/>
    <xf numFmtId="9" fontId="67" fillId="2" borderId="0" xfId="2" applyFont="1" applyFill="1" applyBorder="1" applyAlignment="1">
      <alignment horizontal="center"/>
    </xf>
    <xf numFmtId="1" fontId="67" fillId="0" borderId="12" xfId="0" applyNumberFormat="1" applyFont="1" applyBorder="1"/>
    <xf numFmtId="9" fontId="67" fillId="2" borderId="11" xfId="2" applyFont="1" applyFill="1" applyBorder="1" applyAlignment="1">
      <alignment horizontal="center"/>
    </xf>
    <xf numFmtId="164" fontId="67" fillId="0" borderId="0" xfId="0" applyNumberFormat="1" applyFont="1"/>
    <xf numFmtId="0" fontId="67" fillId="0" borderId="40" xfId="0" applyFont="1" applyBorder="1"/>
    <xf numFmtId="1" fontId="67" fillId="6" borderId="38" xfId="0" applyNumberFormat="1" applyFont="1" applyFill="1" applyBorder="1"/>
    <xf numFmtId="1" fontId="67" fillId="0" borderId="11" xfId="0" applyNumberFormat="1" applyFont="1" applyBorder="1"/>
    <xf numFmtId="0" fontId="68" fillId="0" borderId="0" xfId="0" applyFont="1"/>
    <xf numFmtId="0" fontId="69" fillId="0" borderId="0" xfId="0" applyFont="1"/>
    <xf numFmtId="0" fontId="70" fillId="0" borderId="0" xfId="0" applyFont="1"/>
    <xf numFmtId="9" fontId="71" fillId="0" borderId="0" xfId="2" applyFont="1" applyFill="1" applyBorder="1"/>
    <xf numFmtId="0" fontId="68" fillId="6" borderId="22" xfId="0" applyFont="1" applyFill="1" applyBorder="1"/>
    <xf numFmtId="3" fontId="68" fillId="6" borderId="22" xfId="0" applyNumberFormat="1" applyFont="1" applyFill="1" applyBorder="1"/>
    <xf numFmtId="0" fontId="68" fillId="11" borderId="0" xfId="0" applyFont="1" applyFill="1"/>
    <xf numFmtId="1" fontId="68" fillId="6" borderId="22" xfId="0" applyNumberFormat="1" applyFont="1" applyFill="1" applyBorder="1"/>
    <xf numFmtId="3" fontId="68" fillId="11" borderId="0" xfId="0" applyNumberFormat="1" applyFont="1" applyFill="1"/>
    <xf numFmtId="0" fontId="72" fillId="0" borderId="0" xfId="0" applyFont="1"/>
    <xf numFmtId="0" fontId="73" fillId="0" borderId="0" xfId="0" applyFont="1"/>
    <xf numFmtId="2" fontId="73" fillId="0" borderId="0" xfId="0" applyNumberFormat="1" applyFont="1"/>
    <xf numFmtId="4" fontId="74" fillId="0" borderId="0" xfId="0" applyNumberFormat="1" applyFont="1"/>
    <xf numFmtId="1" fontId="73" fillId="0" borderId="0" xfId="0" applyNumberFormat="1" applyFont="1"/>
    <xf numFmtId="4" fontId="73" fillId="0" borderId="0" xfId="0" applyNumberFormat="1" applyFont="1"/>
    <xf numFmtId="164" fontId="19" fillId="6" borderId="0" xfId="0" applyNumberFormat="1" applyFont="1" applyFill="1"/>
    <xf numFmtId="0" fontId="22" fillId="0" borderId="0" xfId="0" applyFont="1"/>
    <xf numFmtId="0" fontId="16" fillId="0" borderId="0" xfId="0" applyFont="1"/>
    <xf numFmtId="0" fontId="37" fillId="0" borderId="0" xfId="0" applyFont="1"/>
    <xf numFmtId="0" fontId="23" fillId="3" borderId="14" xfId="1" applyFont="1" applyFill="1" applyBorder="1" applyAlignment="1" applyProtection="1">
      <alignment horizontal="left"/>
    </xf>
    <xf numFmtId="0" fontId="76" fillId="3" borderId="0" xfId="0" applyFont="1" applyFill="1"/>
    <xf numFmtId="3" fontId="76" fillId="3" borderId="0" xfId="0" applyNumberFormat="1" applyFont="1" applyFill="1"/>
    <xf numFmtId="0" fontId="77" fillId="3" borderId="14" xfId="1" applyFont="1" applyFill="1" applyBorder="1" applyAlignment="1" applyProtection="1">
      <alignment horizontal="left"/>
    </xf>
    <xf numFmtId="0" fontId="77" fillId="3" borderId="0" xfId="1" applyFont="1" applyFill="1" applyBorder="1" applyAlignment="1" applyProtection="1">
      <alignment horizontal="left"/>
    </xf>
    <xf numFmtId="0" fontId="77" fillId="3" borderId="0" xfId="0" applyFont="1" applyFill="1"/>
    <xf numFmtId="3" fontId="77" fillId="3" borderId="0" xfId="0" applyNumberFormat="1" applyFont="1" applyFill="1"/>
    <xf numFmtId="2" fontId="77" fillId="3" borderId="0" xfId="0" applyNumberFormat="1" applyFont="1" applyFill="1"/>
    <xf numFmtId="0" fontId="78" fillId="3" borderId="0" xfId="1" applyFont="1" applyFill="1" applyBorder="1" applyAlignment="1" applyProtection="1">
      <alignment horizontal="left"/>
    </xf>
    <xf numFmtId="0" fontId="78" fillId="3" borderId="0" xfId="0" applyFont="1" applyFill="1"/>
    <xf numFmtId="3" fontId="78" fillId="3" borderId="0" xfId="0" applyNumberFormat="1" applyFont="1" applyFill="1"/>
    <xf numFmtId="2" fontId="78" fillId="3" borderId="0" xfId="0" applyNumberFormat="1" applyFont="1" applyFill="1"/>
    <xf numFmtId="0" fontId="76" fillId="3" borderId="14" xfId="1" applyFont="1" applyFill="1" applyBorder="1" applyAlignment="1" applyProtection="1">
      <alignment horizontal="left"/>
    </xf>
    <xf numFmtId="0" fontId="76" fillId="3" borderId="0" xfId="1" applyFont="1" applyFill="1" applyBorder="1" applyAlignment="1" applyProtection="1">
      <alignment horizontal="left"/>
    </xf>
    <xf numFmtId="0" fontId="79" fillId="3" borderId="0" xfId="0" applyFont="1" applyFill="1"/>
    <xf numFmtId="1" fontId="77" fillId="3" borderId="0" xfId="0" applyNumberFormat="1" applyFont="1" applyFill="1"/>
    <xf numFmtId="1" fontId="76" fillId="3" borderId="0" xfId="0" applyNumberFormat="1" applyFont="1" applyFill="1"/>
    <xf numFmtId="0" fontId="80" fillId="3" borderId="14" xfId="1" applyFont="1" applyFill="1" applyBorder="1" applyAlignment="1" applyProtection="1">
      <alignment horizontal="left"/>
    </xf>
    <xf numFmtId="0" fontId="80" fillId="3" borderId="14" xfId="0" applyFont="1" applyFill="1" applyBorder="1" applyAlignment="1">
      <alignment horizontal="left" wrapText="1"/>
    </xf>
    <xf numFmtId="0" fontId="78" fillId="3" borderId="0" xfId="0" applyFont="1" applyFill="1" applyAlignment="1">
      <alignment horizontal="left" wrapText="1"/>
    </xf>
    <xf numFmtId="3" fontId="78" fillId="3" borderId="0" xfId="0" applyNumberFormat="1" applyFont="1" applyFill="1" applyAlignment="1">
      <alignment horizontal="right" wrapText="1"/>
    </xf>
    <xf numFmtId="2" fontId="78" fillId="3" borderId="0" xfId="0" applyNumberFormat="1" applyFont="1" applyFill="1" applyAlignment="1">
      <alignment horizontal="right" wrapText="1"/>
    </xf>
    <xf numFmtId="0" fontId="81" fillId="3" borderId="0" xfId="0" applyFont="1" applyFill="1"/>
    <xf numFmtId="0" fontId="77" fillId="0" borderId="0" xfId="0" applyFont="1"/>
    <xf numFmtId="0" fontId="80" fillId="0" borderId="0" xfId="0" applyFont="1"/>
    <xf numFmtId="0" fontId="79" fillId="0" borderId="0" xfId="0" applyFont="1"/>
    <xf numFmtId="0" fontId="73" fillId="3" borderId="0" xfId="1" applyFont="1" applyFill="1" applyBorder="1" applyAlignment="1" applyProtection="1">
      <alignment horizontal="left"/>
    </xf>
    <xf numFmtId="3" fontId="82" fillId="0" borderId="0" xfId="0" applyNumberFormat="1" applyFont="1"/>
    <xf numFmtId="4" fontId="72" fillId="0" borderId="0" xfId="0" applyNumberFormat="1" applyFont="1"/>
    <xf numFmtId="165" fontId="77" fillId="3" borderId="0" xfId="0" applyNumberFormat="1" applyFont="1" applyFill="1"/>
    <xf numFmtId="165" fontId="78" fillId="3" borderId="0" xfId="0" applyNumberFormat="1" applyFont="1" applyFill="1"/>
    <xf numFmtId="165" fontId="78" fillId="3" borderId="0" xfId="0" applyNumberFormat="1" applyFont="1" applyFill="1" applyAlignment="1">
      <alignment horizontal="right" wrapText="1"/>
    </xf>
    <xf numFmtId="3" fontId="15" fillId="3" borderId="0" xfId="0" applyNumberFormat="1" applyFont="1" applyFill="1" applyAlignment="1">
      <alignment horizontal="right" wrapText="1"/>
    </xf>
    <xf numFmtId="0" fontId="15" fillId="3" borderId="0" xfId="0" applyFont="1" applyFill="1"/>
    <xf numFmtId="166" fontId="15" fillId="3" borderId="0" xfId="0" applyNumberFormat="1" applyFont="1" applyFill="1" applyAlignment="1">
      <alignment horizontal="right" wrapText="1"/>
    </xf>
    <xf numFmtId="3" fontId="16" fillId="0" borderId="0" xfId="0" applyNumberFormat="1" applyFont="1"/>
    <xf numFmtId="3" fontId="73" fillId="0" borderId="0" xfId="0" applyNumberFormat="1" applyFont="1"/>
    <xf numFmtId="0" fontId="82" fillId="0" borderId="0" xfId="0" applyFont="1"/>
    <xf numFmtId="2" fontId="72" fillId="0" borderId="0" xfId="0" applyNumberFormat="1" applyFont="1"/>
    <xf numFmtId="0" fontId="10" fillId="3" borderId="11" xfId="0" applyFont="1" applyFill="1" applyBorder="1"/>
    <xf numFmtId="0" fontId="23" fillId="3" borderId="0" xfId="0" applyFont="1" applyFill="1"/>
    <xf numFmtId="0" fontId="22" fillId="3" borderId="11" xfId="0" applyFont="1" applyFill="1" applyBorder="1"/>
    <xf numFmtId="9" fontId="67" fillId="0" borderId="12" xfId="2" applyFont="1" applyFill="1" applyBorder="1"/>
    <xf numFmtId="0" fontId="0" fillId="44" borderId="0" xfId="0" applyFill="1"/>
    <xf numFmtId="0" fontId="31" fillId="44" borderId="0" xfId="0" applyFont="1" applyFill="1"/>
    <xf numFmtId="0" fontId="4" fillId="44" borderId="0" xfId="0" applyFont="1" applyFill="1"/>
    <xf numFmtId="0" fontId="18" fillId="44" borderId="0" xfId="0" applyFont="1" applyFill="1"/>
    <xf numFmtId="0" fontId="19" fillId="44" borderId="0" xfId="0" applyFont="1" applyFill="1"/>
    <xf numFmtId="0" fontId="39" fillId="44" borderId="0" xfId="0" applyFont="1" applyFill="1"/>
    <xf numFmtId="0" fontId="38" fillId="44" borderId="0" xfId="0" applyFont="1" applyFill="1"/>
    <xf numFmtId="0" fontId="5" fillId="33" borderId="0" xfId="0" applyFont="1" applyFill="1"/>
    <xf numFmtId="0" fontId="1" fillId="33" borderId="0" xfId="0" applyFont="1" applyFill="1"/>
    <xf numFmtId="0" fontId="8" fillId="33" borderId="0" xfId="0" applyFont="1" applyFill="1"/>
    <xf numFmtId="2" fontId="1" fillId="33" borderId="0" xfId="0" applyNumberFormat="1" applyFont="1" applyFill="1"/>
    <xf numFmtId="3" fontId="0" fillId="33" borderId="0" xfId="0" applyNumberFormat="1" applyFill="1"/>
    <xf numFmtId="1" fontId="10" fillId="33" borderId="0" xfId="0" applyNumberFormat="1" applyFont="1" applyFill="1"/>
    <xf numFmtId="0" fontId="10" fillId="33" borderId="0" xfId="0" applyFont="1" applyFill="1"/>
    <xf numFmtId="0" fontId="21" fillId="44" borderId="0" xfId="0" applyFont="1" applyFill="1"/>
    <xf numFmtId="0" fontId="18" fillId="15" borderId="0" xfId="0" applyFont="1" applyFill="1"/>
    <xf numFmtId="2" fontId="18" fillId="15" borderId="0" xfId="0" applyNumberFormat="1" applyFont="1" applyFill="1"/>
    <xf numFmtId="9" fontId="18" fillId="0" borderId="0" xfId="2" applyFont="1" applyFill="1" applyBorder="1"/>
    <xf numFmtId="2" fontId="18" fillId="0" borderId="0" xfId="0" applyNumberFormat="1" applyFont="1"/>
    <xf numFmtId="164" fontId="18" fillId="0" borderId="0" xfId="0" applyNumberFormat="1" applyFont="1"/>
    <xf numFmtId="9" fontId="5" fillId="0" borderId="0" xfId="0" applyNumberFormat="1" applyFont="1"/>
    <xf numFmtId="0" fontId="5" fillId="24" borderId="0" xfId="0" applyFont="1" applyFill="1"/>
    <xf numFmtId="0" fontId="1" fillId="24" borderId="0" xfId="0" applyFont="1" applyFill="1"/>
    <xf numFmtId="0" fontId="18" fillId="24" borderId="0" xfId="0" applyFont="1" applyFill="1"/>
    <xf numFmtId="0" fontId="4" fillId="24" borderId="0" xfId="0" applyFont="1" applyFill="1"/>
    <xf numFmtId="1" fontId="1" fillId="22" borderId="22" xfId="0" applyNumberFormat="1" applyFont="1" applyFill="1" applyBorder="1"/>
    <xf numFmtId="0" fontId="1" fillId="0" borderId="14" xfId="0" applyFont="1" applyBorder="1" applyAlignment="1">
      <alignment horizontal="right"/>
    </xf>
    <xf numFmtId="9" fontId="1" fillId="22" borderId="25" xfId="2" applyFont="1" applyFill="1" applyBorder="1"/>
    <xf numFmtId="167" fontId="1" fillId="6" borderId="38" xfId="2" applyNumberFormat="1" applyFont="1" applyFill="1" applyBorder="1"/>
    <xf numFmtId="0" fontId="1" fillId="24" borderId="43" xfId="0" applyFont="1" applyFill="1" applyBorder="1" applyAlignment="1">
      <alignment horizontal="left"/>
    </xf>
    <xf numFmtId="0" fontId="1" fillId="24" borderId="44" xfId="0" applyFont="1" applyFill="1" applyBorder="1" applyAlignment="1">
      <alignment horizontal="left"/>
    </xf>
    <xf numFmtId="0" fontId="1" fillId="24" borderId="45" xfId="0" applyFont="1" applyFill="1" applyBorder="1" applyAlignment="1">
      <alignment horizontal="left"/>
    </xf>
    <xf numFmtId="9" fontId="1" fillId="22" borderId="38" xfId="2" applyFont="1" applyFill="1" applyBorder="1"/>
    <xf numFmtId="0" fontId="3" fillId="24" borderId="0" xfId="0" applyFont="1" applyFill="1" applyAlignment="1">
      <alignment horizontal="right" vertical="center"/>
    </xf>
    <xf numFmtId="0" fontId="0" fillId="24" borderId="0" xfId="0" applyFill="1" applyAlignment="1">
      <alignment vertical="center"/>
    </xf>
    <xf numFmtId="0" fontId="3" fillId="24" borderId="0" xfId="0" applyFont="1" applyFill="1" applyAlignment="1">
      <alignment vertical="center"/>
    </xf>
    <xf numFmtId="0" fontId="3" fillId="24" borderId="0" xfId="0" applyFont="1" applyFill="1" applyAlignment="1">
      <alignment vertical="center" wrapText="1"/>
    </xf>
    <xf numFmtId="1" fontId="28" fillId="22" borderId="22" xfId="0" applyNumberFormat="1" applyFont="1" applyFill="1" applyBorder="1"/>
    <xf numFmtId="1" fontId="0" fillId="6" borderId="22" xfId="0" applyNumberFormat="1" applyFill="1" applyBorder="1"/>
    <xf numFmtId="1" fontId="4" fillId="20" borderId="0" xfId="0" applyNumberFormat="1" applyFont="1" applyFill="1"/>
    <xf numFmtId="3" fontId="4" fillId="33" borderId="0" xfId="0" applyNumberFormat="1" applyFont="1" applyFill="1"/>
    <xf numFmtId="0" fontId="22" fillId="0" borderId="0" xfId="1" applyFont="1" applyAlignment="1" applyProtection="1">
      <alignment horizontal="left" wrapText="1"/>
    </xf>
    <xf numFmtId="0" fontId="22" fillId="3" borderId="0" xfId="1" applyFont="1" applyFill="1" applyBorder="1" applyAlignment="1" applyProtection="1">
      <alignment horizontal="left" wrapText="1"/>
    </xf>
    <xf numFmtId="3" fontId="0" fillId="24" borderId="0" xfId="0" applyNumberFormat="1" applyFill="1"/>
    <xf numFmtId="3" fontId="1" fillId="24" borderId="0" xfId="0" applyNumberFormat="1" applyFont="1" applyFill="1"/>
    <xf numFmtId="3" fontId="1" fillId="22" borderId="22" xfId="0" applyNumberFormat="1" applyFont="1" applyFill="1" applyBorder="1"/>
    <xf numFmtId="0" fontId="5" fillId="44" borderId="0" xfId="0" applyFont="1" applyFill="1"/>
    <xf numFmtId="3" fontId="5" fillId="24" borderId="0" xfId="0" applyNumberFormat="1" applyFont="1" applyFill="1"/>
    <xf numFmtId="0" fontId="5" fillId="0" borderId="0" xfId="0" applyFont="1"/>
    <xf numFmtId="1" fontId="1" fillId="22" borderId="25" xfId="0" applyNumberFormat="1" applyFont="1" applyFill="1" applyBorder="1"/>
    <xf numFmtId="0" fontId="20" fillId="0" borderId="14" xfId="0" applyFont="1" applyBorder="1"/>
    <xf numFmtId="0" fontId="20" fillId="0" borderId="0" xfId="0" applyFont="1"/>
    <xf numFmtId="0" fontId="17" fillId="0" borderId="6" xfId="0" applyFont="1" applyBorder="1"/>
    <xf numFmtId="0" fontId="0" fillId="0" borderId="4" xfId="0" applyBorder="1"/>
    <xf numFmtId="0" fontId="0" fillId="0" borderId="8" xfId="0" applyBorder="1"/>
    <xf numFmtId="0" fontId="83" fillId="0" borderId="0" xfId="0" applyFont="1"/>
    <xf numFmtId="0" fontId="84" fillId="0" borderId="0" xfId="0" applyFont="1"/>
    <xf numFmtId="0" fontId="85" fillId="0" borderId="0" xfId="0" applyFont="1"/>
    <xf numFmtId="0" fontId="86" fillId="0" borderId="0" xfId="0" applyFont="1"/>
    <xf numFmtId="4" fontId="83" fillId="0" borderId="0" xfId="0" applyNumberFormat="1" applyFont="1"/>
    <xf numFmtId="1" fontId="19" fillId="6" borderId="22" xfId="0" applyNumberFormat="1" applyFont="1" applyFill="1" applyBorder="1"/>
    <xf numFmtId="0" fontId="87" fillId="0" borderId="0" xfId="0" applyFont="1"/>
    <xf numFmtId="0" fontId="3" fillId="30" borderId="7" xfId="0" applyFont="1" applyFill="1" applyBorder="1"/>
    <xf numFmtId="0" fontId="20" fillId="0" borderId="6" xfId="0" applyFont="1" applyBorder="1"/>
    <xf numFmtId="0" fontId="20" fillId="30" borderId="15" xfId="0" applyFont="1" applyFill="1" applyBorder="1"/>
    <xf numFmtId="0" fontId="88" fillId="30" borderId="15" xfId="0" applyFont="1" applyFill="1" applyBorder="1"/>
    <xf numFmtId="0" fontId="28" fillId="0" borderId="0" xfId="0" applyFont="1"/>
    <xf numFmtId="164" fontId="28" fillId="21" borderId="0" xfId="0" applyNumberFormat="1" applyFont="1" applyFill="1"/>
    <xf numFmtId="0" fontId="89" fillId="21" borderId="0" xfId="0" applyFont="1" applyFill="1"/>
    <xf numFmtId="0" fontId="3" fillId="20" borderId="0" xfId="0" applyFont="1" applyFill="1"/>
    <xf numFmtId="164" fontId="89" fillId="21" borderId="0" xfId="0" applyNumberFormat="1" applyFont="1" applyFill="1"/>
    <xf numFmtId="0" fontId="90" fillId="21" borderId="0" xfId="0" applyFont="1" applyFill="1"/>
    <xf numFmtId="164" fontId="90" fillId="21" borderId="0" xfId="0" applyNumberFormat="1" applyFont="1" applyFill="1"/>
    <xf numFmtId="3" fontId="5" fillId="20" borderId="0" xfId="0" applyNumberFormat="1" applyFont="1" applyFill="1"/>
    <xf numFmtId="0" fontId="20" fillId="30" borderId="0" xfId="0" applyFont="1" applyFill="1"/>
    <xf numFmtId="0" fontId="32" fillId="0" borderId="0" xfId="0" applyFont="1"/>
    <xf numFmtId="0" fontId="20" fillId="0" borderId="4" xfId="0" applyFont="1" applyBorder="1"/>
    <xf numFmtId="0" fontId="18" fillId="0" borderId="8" xfId="0" applyFont="1" applyBorder="1"/>
    <xf numFmtId="0" fontId="23" fillId="30" borderId="3" xfId="0" applyFont="1" applyFill="1" applyBorder="1"/>
    <xf numFmtId="164" fontId="28" fillId="20" borderId="0" xfId="0" applyNumberFormat="1" applyFont="1" applyFill="1"/>
    <xf numFmtId="164" fontId="1" fillId="20" borderId="0" xfId="0" applyNumberFormat="1" applyFont="1" applyFill="1"/>
    <xf numFmtId="164" fontId="0" fillId="20" borderId="0" xfId="0" applyNumberFormat="1" applyFill="1"/>
    <xf numFmtId="164" fontId="90" fillId="20" borderId="0" xfId="0" applyNumberFormat="1" applyFont="1" applyFill="1"/>
    <xf numFmtId="0" fontId="19" fillId="6" borderId="0" xfId="0" applyFont="1" applyFill="1"/>
    <xf numFmtId="0" fontId="19" fillId="6" borderId="0" xfId="0" applyFont="1" applyFill="1" applyAlignment="1">
      <alignment horizontal="center"/>
    </xf>
    <xf numFmtId="0" fontId="19" fillId="6" borderId="0" xfId="0" applyFont="1" applyFill="1" applyAlignment="1">
      <alignment horizontal="right"/>
    </xf>
    <xf numFmtId="0" fontId="20" fillId="46" borderId="0" xfId="0" applyFont="1" applyFill="1"/>
    <xf numFmtId="0" fontId="20" fillId="46" borderId="15" xfId="0" applyFont="1" applyFill="1" applyBorder="1"/>
    <xf numFmtId="0" fontId="88" fillId="46" borderId="15" xfId="0" applyFont="1" applyFill="1" applyBorder="1"/>
    <xf numFmtId="0" fontId="0" fillId="46" borderId="5" xfId="0" applyFill="1" applyBorder="1"/>
    <xf numFmtId="0" fontId="3" fillId="46" borderId="7" xfId="0" applyFont="1" applyFill="1" applyBorder="1"/>
    <xf numFmtId="0" fontId="19" fillId="0" borderId="0" xfId="0" applyFont="1" applyAlignment="1">
      <alignment horizontal="right"/>
    </xf>
    <xf numFmtId="0" fontId="19" fillId="0" borderId="0" xfId="0" applyFont="1" applyAlignment="1">
      <alignment horizontal="center"/>
    </xf>
    <xf numFmtId="0" fontId="18" fillId="6" borderId="0" xfId="0" applyFont="1" applyFill="1"/>
    <xf numFmtId="2" fontId="3" fillId="20" borderId="0" xfId="0" applyNumberFormat="1" applyFont="1" applyFill="1"/>
    <xf numFmtId="164" fontId="3" fillId="20" borderId="0" xfId="0" applyNumberFormat="1" applyFont="1" applyFill="1"/>
    <xf numFmtId="0" fontId="91" fillId="20" borderId="0" xfId="1" applyFont="1" applyFill="1" applyBorder="1" applyAlignment="1" applyProtection="1"/>
    <xf numFmtId="0" fontId="15" fillId="20" borderId="0" xfId="0" applyFont="1" applyFill="1" applyAlignment="1">
      <alignment horizontal="right"/>
    </xf>
    <xf numFmtId="0" fontId="91" fillId="20" borderId="0" xfId="1" applyFont="1" applyFill="1" applyAlignment="1" applyProtection="1"/>
    <xf numFmtId="0" fontId="0" fillId="16" borderId="5" xfId="0" applyFill="1" applyBorder="1"/>
    <xf numFmtId="0" fontId="23" fillId="16" borderId="3" xfId="0" applyFont="1" applyFill="1" applyBorder="1"/>
    <xf numFmtId="0" fontId="3" fillId="16" borderId="7" xfId="0" applyFont="1" applyFill="1" applyBorder="1"/>
    <xf numFmtId="0" fontId="20" fillId="16" borderId="0" xfId="0" applyFont="1" applyFill="1"/>
    <xf numFmtId="0" fontId="20" fillId="16" borderId="15" xfId="0" applyFont="1" applyFill="1" applyBorder="1"/>
    <xf numFmtId="0" fontId="88" fillId="16" borderId="15" xfId="0" applyFont="1" applyFill="1" applyBorder="1"/>
    <xf numFmtId="0" fontId="0" fillId="30" borderId="5" xfId="0" applyFill="1" applyBorder="1"/>
    <xf numFmtId="0" fontId="92" fillId="21" borderId="0" xfId="0" applyFont="1" applyFill="1"/>
    <xf numFmtId="164" fontId="7" fillId="21" borderId="0" xfId="0" applyNumberFormat="1" applyFont="1" applyFill="1"/>
    <xf numFmtId="164" fontId="7" fillId="20" borderId="0" xfId="0" applyNumberFormat="1" applyFont="1" applyFill="1"/>
    <xf numFmtId="4" fontId="7" fillId="20" borderId="0" xfId="0" applyNumberFormat="1" applyFont="1" applyFill="1"/>
    <xf numFmtId="0" fontId="7" fillId="20" borderId="0" xfId="0" applyFont="1" applyFill="1"/>
    <xf numFmtId="0" fontId="0" fillId="8" borderId="5" xfId="0" applyFill="1" applyBorder="1"/>
    <xf numFmtId="0" fontId="23" fillId="8" borderId="3" xfId="0" applyFont="1" applyFill="1" applyBorder="1"/>
    <xf numFmtId="0" fontId="3" fillId="8" borderId="7" xfId="0" applyFont="1" applyFill="1" applyBorder="1"/>
    <xf numFmtId="0" fontId="20" fillId="8" borderId="15" xfId="0" applyFont="1" applyFill="1" applyBorder="1"/>
    <xf numFmtId="0" fontId="88" fillId="8" borderId="15" xfId="0" applyFont="1" applyFill="1" applyBorder="1"/>
    <xf numFmtId="0" fontId="20" fillId="0" borderId="0" xfId="0" applyFont="1" applyAlignment="1">
      <alignment horizontal="center"/>
    </xf>
    <xf numFmtId="0" fontId="20" fillId="6" borderId="0" xfId="0" applyFont="1" applyFill="1" applyAlignment="1">
      <alignment horizontal="center"/>
    </xf>
    <xf numFmtId="0" fontId="88" fillId="0" borderId="14" xfId="0" applyFont="1" applyBorder="1"/>
    <xf numFmtId="0" fontId="88" fillId="0" borderId="4" xfId="0" applyFont="1" applyBorder="1"/>
    <xf numFmtId="0" fontId="88" fillId="0" borderId="15" xfId="0" applyFont="1" applyBorder="1"/>
    <xf numFmtId="0" fontId="20" fillId="0" borderId="15" xfId="0" applyFont="1" applyBorder="1"/>
    <xf numFmtId="4" fontId="3" fillId="20" borderId="0" xfId="0" applyNumberFormat="1" applyFont="1" applyFill="1"/>
    <xf numFmtId="0" fontId="20" fillId="8" borderId="0" xfId="0" applyFont="1" applyFill="1"/>
    <xf numFmtId="0" fontId="88" fillId="0" borderId="0" xfId="0" applyFont="1"/>
    <xf numFmtId="0" fontId="18" fillId="8" borderId="0" xfId="0" applyFont="1" applyFill="1"/>
    <xf numFmtId="0" fontId="39" fillId="8" borderId="0" xfId="0" applyFont="1" applyFill="1"/>
    <xf numFmtId="0" fontId="23" fillId="0" borderId="14" xfId="0" applyFont="1" applyBorder="1"/>
    <xf numFmtId="0" fontId="18" fillId="0" borderId="15" xfId="0" applyFont="1" applyBorder="1"/>
    <xf numFmtId="0" fontId="22" fillId="0" borderId="14" xfId="0" applyFont="1" applyBorder="1"/>
    <xf numFmtId="0" fontId="18" fillId="8" borderId="15" xfId="0" applyFont="1" applyFill="1" applyBorder="1"/>
    <xf numFmtId="0" fontId="32" fillId="6" borderId="0" xfId="0" applyFont="1" applyFill="1"/>
    <xf numFmtId="0" fontId="39" fillId="8" borderId="15" xfId="0" applyFont="1" applyFill="1" applyBorder="1"/>
    <xf numFmtId="0" fontId="0" fillId="8" borderId="15" xfId="0" applyFill="1" applyBorder="1"/>
    <xf numFmtId="0" fontId="93" fillId="0" borderId="6" xfId="0" applyFont="1" applyBorder="1"/>
    <xf numFmtId="0" fontId="88" fillId="0" borderId="8" xfId="0" applyFont="1" applyBorder="1"/>
    <xf numFmtId="0" fontId="4" fillId="8" borderId="0" xfId="0" applyFont="1" applyFill="1"/>
    <xf numFmtId="0" fontId="19" fillId="8" borderId="0" xfId="0" applyFont="1" applyFill="1"/>
    <xf numFmtId="0" fontId="38" fillId="8" borderId="0" xfId="0" applyFont="1" applyFill="1"/>
    <xf numFmtId="0" fontId="21" fillId="8" borderId="0" xfId="0" applyFont="1" applyFill="1"/>
    <xf numFmtId="0" fontId="0" fillId="47" borderId="0" xfId="0" applyFill="1"/>
    <xf numFmtId="0" fontId="4" fillId="47" borderId="0" xfId="0" applyFont="1" applyFill="1"/>
    <xf numFmtId="0" fontId="18" fillId="47" borderId="0" xfId="0" applyFont="1" applyFill="1"/>
    <xf numFmtId="0" fontId="19" fillId="47" borderId="0" xfId="0" applyFont="1" applyFill="1"/>
    <xf numFmtId="0" fontId="39" fillId="47" borderId="0" xfId="0" applyFont="1" applyFill="1"/>
    <xf numFmtId="0" fontId="38" fillId="47" borderId="0" xfId="0" applyFont="1" applyFill="1"/>
    <xf numFmtId="0" fontId="21" fillId="47" borderId="0" xfId="0" applyFont="1" applyFill="1"/>
    <xf numFmtId="0" fontId="40" fillId="47" borderId="0" xfId="0" applyFont="1" applyFill="1"/>
    <xf numFmtId="0" fontId="31" fillId="47" borderId="0" xfId="0" applyFont="1" applyFill="1"/>
    <xf numFmtId="0" fontId="94" fillId="0" borderId="0" xfId="0" applyFont="1" applyAlignment="1">
      <alignment horizontal="left"/>
    </xf>
    <xf numFmtId="0" fontId="96" fillId="0" borderId="0" xfId="0" applyFont="1"/>
    <xf numFmtId="164" fontId="96" fillId="0" borderId="0" xfId="0" applyNumberFormat="1" applyFont="1"/>
    <xf numFmtId="1" fontId="96" fillId="0" borderId="0" xfId="0" applyNumberFormat="1" applyFont="1"/>
    <xf numFmtId="0" fontId="96" fillId="0" borderId="40" xfId="0" applyFont="1" applyBorder="1"/>
    <xf numFmtId="1" fontId="96" fillId="6" borderId="38" xfId="0" applyNumberFormat="1" applyFont="1" applyFill="1" applyBorder="1"/>
    <xf numFmtId="1" fontId="96" fillId="6" borderId="23" xfId="0" applyNumberFormat="1" applyFont="1" applyFill="1" applyBorder="1"/>
    <xf numFmtId="9" fontId="96" fillId="6" borderId="23" xfId="2" applyFont="1" applyFill="1" applyBorder="1"/>
    <xf numFmtId="9" fontId="96" fillId="0" borderId="0" xfId="2" applyFont="1" applyFill="1" applyBorder="1"/>
    <xf numFmtId="9" fontId="96" fillId="2" borderId="0" xfId="2" applyFont="1" applyFill="1" applyBorder="1" applyAlignment="1">
      <alignment horizontal="center"/>
    </xf>
    <xf numFmtId="1" fontId="96" fillId="0" borderId="12" xfId="0" applyNumberFormat="1" applyFont="1" applyBorder="1"/>
    <xf numFmtId="1" fontId="96" fillId="0" borderId="11" xfId="0" applyNumberFormat="1" applyFont="1" applyBorder="1"/>
    <xf numFmtId="0" fontId="22" fillId="3" borderId="5" xfId="1" applyFont="1" applyFill="1" applyBorder="1" applyAlignment="1" applyProtection="1">
      <alignment horizontal="left" wrapText="1"/>
    </xf>
    <xf numFmtId="0" fontId="22" fillId="3" borderId="3" xfId="1" applyFont="1" applyFill="1" applyBorder="1" applyAlignment="1" applyProtection="1">
      <alignment horizontal="left" wrapText="1"/>
    </xf>
    <xf numFmtId="0" fontId="95" fillId="3" borderId="7" xfId="1" applyFont="1" applyFill="1" applyBorder="1" applyAlignment="1" applyProtection="1">
      <alignment horizontal="left" vertical="top" wrapText="1"/>
    </xf>
    <xf numFmtId="0" fontId="22" fillId="3" borderId="15" xfId="1" applyFont="1" applyFill="1" applyBorder="1" applyAlignment="1" applyProtection="1">
      <alignment horizontal="left" wrapText="1"/>
    </xf>
    <xf numFmtId="3" fontId="16" fillId="3" borderId="0" xfId="1" applyNumberFormat="1" applyFont="1" applyFill="1" applyBorder="1" applyAlignment="1" applyProtection="1">
      <alignment horizontal="right" wrapText="1"/>
    </xf>
    <xf numFmtId="0" fontId="16" fillId="3" borderId="0" xfId="1" applyFont="1" applyFill="1" applyBorder="1" applyAlignment="1" applyProtection="1">
      <alignment horizontal="left" wrapText="1"/>
    </xf>
    <xf numFmtId="0" fontId="16" fillId="3" borderId="0" xfId="1" applyFont="1" applyFill="1" applyBorder="1" applyAlignment="1" applyProtection="1">
      <alignment horizontal="right" wrapText="1"/>
    </xf>
    <xf numFmtId="3" fontId="16" fillId="3" borderId="0" xfId="1" applyNumberFormat="1" applyFont="1" applyFill="1" applyBorder="1" applyAlignment="1" applyProtection="1">
      <alignment horizontal="left" wrapText="1"/>
    </xf>
    <xf numFmtId="0" fontId="22" fillId="3" borderId="8" xfId="1" applyFont="1" applyFill="1" applyBorder="1" applyAlignment="1" applyProtection="1">
      <alignment horizontal="left" wrapText="1"/>
    </xf>
    <xf numFmtId="0" fontId="95" fillId="3" borderId="0" xfId="0" applyFont="1" applyFill="1" applyAlignment="1">
      <alignment horizontal="left" wrapText="1"/>
    </xf>
    <xf numFmtId="3" fontId="95" fillId="3" borderId="0" xfId="1" applyNumberFormat="1" applyFont="1" applyFill="1" applyBorder="1" applyAlignment="1" applyProtection="1">
      <alignment horizontal="right" wrapText="1"/>
    </xf>
    <xf numFmtId="0" fontId="95" fillId="3" borderId="0" xfId="1" applyFont="1" applyFill="1" applyBorder="1" applyAlignment="1" applyProtection="1">
      <alignment horizontal="left" wrapText="1"/>
    </xf>
    <xf numFmtId="3" fontId="95" fillId="3" borderId="0" xfId="1" applyNumberFormat="1" applyFont="1" applyFill="1" applyBorder="1" applyAlignment="1" applyProtection="1">
      <alignment horizontal="left" wrapText="1"/>
    </xf>
    <xf numFmtId="3" fontId="95" fillId="3" borderId="4" xfId="1" applyNumberFormat="1" applyFont="1" applyFill="1" applyBorder="1" applyAlignment="1" applyProtection="1">
      <alignment horizontal="right" wrapText="1"/>
    </xf>
    <xf numFmtId="3" fontId="95" fillId="3" borderId="4" xfId="1" applyNumberFormat="1" applyFont="1" applyFill="1" applyBorder="1" applyAlignment="1" applyProtection="1">
      <alignment horizontal="left" wrapText="1"/>
    </xf>
    <xf numFmtId="0" fontId="95" fillId="3" borderId="46" xfId="1" applyFont="1" applyFill="1" applyBorder="1" applyAlignment="1" applyProtection="1">
      <alignment horizontal="left" vertical="top" wrapText="1"/>
    </xf>
    <xf numFmtId="1" fontId="19" fillId="3" borderId="0" xfId="0" applyNumberFormat="1" applyFont="1" applyFill="1"/>
    <xf numFmtId="0" fontId="5" fillId="3" borderId="0" xfId="0" applyFont="1" applyFill="1" applyAlignment="1">
      <alignment horizontal="center"/>
    </xf>
    <xf numFmtId="0" fontId="18" fillId="5" borderId="0" xfId="0" applyFont="1" applyFill="1" applyAlignment="1">
      <alignment horizontal="center" wrapText="1"/>
    </xf>
    <xf numFmtId="0" fontId="35" fillId="6" borderId="22" xfId="0" applyFont="1" applyFill="1" applyBorder="1" applyAlignment="1">
      <alignment wrapText="1"/>
    </xf>
    <xf numFmtId="0" fontId="22" fillId="0" borderId="0" xfId="1" applyFont="1" applyAlignment="1" applyProtection="1"/>
    <xf numFmtId="0" fontId="97" fillId="3" borderId="0" xfId="0" applyFont="1" applyFill="1" applyAlignment="1">
      <alignment horizontal="right"/>
    </xf>
    <xf numFmtId="0" fontId="3" fillId="3" borderId="0" xfId="0" applyFont="1" applyFill="1" applyAlignment="1">
      <alignment horizontal="right"/>
    </xf>
    <xf numFmtId="0" fontId="24" fillId="0" borderId="0" xfId="1" applyFont="1" applyAlignment="1" applyProtection="1"/>
    <xf numFmtId="0" fontId="1" fillId="15" borderId="0" xfId="0" applyFont="1" applyFill="1" applyAlignment="1">
      <alignment horizontal="center" vertical="center"/>
    </xf>
    <xf numFmtId="0" fontId="22" fillId="0" borderId="0" xfId="1" applyFont="1" applyAlignment="1" applyProtection="1">
      <alignment wrapText="1"/>
    </xf>
    <xf numFmtId="0" fontId="97" fillId="3" borderId="0" xfId="0" applyFont="1" applyFill="1"/>
    <xf numFmtId="0" fontId="19" fillId="0" borderId="14" xfId="0" applyFont="1" applyBorder="1" applyAlignment="1">
      <alignment wrapText="1"/>
    </xf>
    <xf numFmtId="0" fontId="23" fillId="46" borderId="3" xfId="0" applyFont="1" applyFill="1" applyBorder="1" applyAlignment="1">
      <alignment horizontal="left"/>
    </xf>
    <xf numFmtId="0" fontId="19" fillId="0" borderId="0" xfId="0" applyFont="1" applyAlignment="1">
      <alignment wrapText="1"/>
    </xf>
    <xf numFmtId="0" fontId="91" fillId="20" borderId="4" xfId="1" applyFont="1" applyFill="1" applyBorder="1" applyAlignment="1" applyProtection="1"/>
    <xf numFmtId="0" fontId="15" fillId="20" borderId="8" xfId="0" applyFont="1" applyFill="1" applyBorder="1" applyAlignment="1">
      <alignment horizontal="right"/>
    </xf>
    <xf numFmtId="0" fontId="91" fillId="20" borderId="1" xfId="1" applyFont="1" applyFill="1" applyBorder="1" applyAlignment="1" applyProtection="1"/>
    <xf numFmtId="0" fontId="18" fillId="23" borderId="0" xfId="0" applyFont="1" applyFill="1" applyAlignment="1">
      <alignment vertical="center"/>
    </xf>
    <xf numFmtId="0" fontId="18" fillId="23" borderId="0" xfId="0" applyFont="1" applyFill="1"/>
    <xf numFmtId="0" fontId="18" fillId="7" borderId="0" xfId="0" applyFont="1" applyFill="1"/>
    <xf numFmtId="0" fontId="99" fillId="43" borderId="0" xfId="0" applyFont="1" applyFill="1" applyAlignment="1">
      <alignment horizontal="left"/>
    </xf>
    <xf numFmtId="0" fontId="98" fillId="43" borderId="0" xfId="0" applyFont="1" applyFill="1" applyAlignment="1">
      <alignment horizontal="left" wrapText="1"/>
    </xf>
    <xf numFmtId="0" fontId="45" fillId="43" borderId="0" xfId="0" applyFont="1" applyFill="1" applyAlignment="1">
      <alignment horizontal="left" wrapText="1"/>
    </xf>
    <xf numFmtId="0" fontId="100" fillId="43" borderId="0" xfId="0" applyFont="1" applyFill="1" applyAlignment="1">
      <alignment horizontal="left" wrapText="1"/>
    </xf>
    <xf numFmtId="0" fontId="47" fillId="43" borderId="0" xfId="0" applyFont="1" applyFill="1" applyAlignment="1">
      <alignment horizontal="left" wrapText="1"/>
    </xf>
    <xf numFmtId="0" fontId="1" fillId="48" borderId="0" xfId="0" applyFont="1" applyFill="1"/>
    <xf numFmtId="0" fontId="4" fillId="48" borderId="0" xfId="0" applyFont="1" applyFill="1"/>
    <xf numFmtId="0" fontId="94" fillId="0" borderId="0" xfId="0" applyFont="1"/>
    <xf numFmtId="0" fontId="16" fillId="0" borderId="0" xfId="1" applyFont="1" applyFill="1" applyBorder="1" applyAlignment="1" applyProtection="1">
      <alignment horizontal="left"/>
    </xf>
    <xf numFmtId="0" fontId="45" fillId="3" borderId="0" xfId="0" applyFont="1" applyFill="1" applyAlignment="1">
      <alignment wrapText="1"/>
    </xf>
    <xf numFmtId="0" fontId="18" fillId="3" borderId="0" xfId="1" applyFont="1" applyFill="1" applyBorder="1" applyAlignment="1" applyProtection="1">
      <alignment horizontal="left"/>
    </xf>
    <xf numFmtId="0" fontId="101" fillId="3" borderId="0" xfId="0" applyFont="1" applyFill="1" applyAlignment="1">
      <alignment horizontal="right"/>
    </xf>
    <xf numFmtId="0" fontId="25" fillId="3" borderId="14" xfId="1" applyFont="1" applyFill="1" applyBorder="1" applyAlignment="1" applyProtection="1">
      <alignment horizontal="left"/>
    </xf>
    <xf numFmtId="0" fontId="102" fillId="0" borderId="0" xfId="0" applyFont="1"/>
    <xf numFmtId="0" fontId="103" fillId="25" borderId="0" xfId="0" applyFont="1" applyFill="1"/>
    <xf numFmtId="0" fontId="6" fillId="0" borderId="41" xfId="0" quotePrefix="1" applyFont="1" applyBorder="1"/>
    <xf numFmtId="0" fontId="6" fillId="0" borderId="0" xfId="0" quotePrefix="1" applyFont="1"/>
    <xf numFmtId="0" fontId="104" fillId="33" borderId="16" xfId="1" quotePrefix="1" applyFont="1" applyFill="1" applyBorder="1" applyAlignment="1" applyProtection="1"/>
    <xf numFmtId="0" fontId="29" fillId="33" borderId="0" xfId="0" applyFont="1" applyFill="1"/>
    <xf numFmtId="0" fontId="29" fillId="3" borderId="12" xfId="0" applyFont="1" applyFill="1" applyBorder="1"/>
    <xf numFmtId="0" fontId="29" fillId="3" borderId="0" xfId="0" applyFont="1" applyFill="1"/>
    <xf numFmtId="0" fontId="104" fillId="32" borderId="16" xfId="1" applyFont="1" applyFill="1" applyBorder="1" applyAlignment="1" applyProtection="1"/>
    <xf numFmtId="0" fontId="29" fillId="32" borderId="0" xfId="0" applyFont="1" applyFill="1"/>
    <xf numFmtId="0" fontId="104" fillId="30" borderId="12" xfId="1" applyFont="1" applyFill="1" applyBorder="1" applyAlignment="1" applyProtection="1"/>
    <xf numFmtId="0" fontId="29" fillId="30" borderId="0" xfId="0" applyFont="1" applyFill="1"/>
    <xf numFmtId="0" fontId="104" fillId="31" borderId="12" xfId="1" applyFont="1" applyFill="1" applyBorder="1" applyAlignment="1" applyProtection="1"/>
    <xf numFmtId="0" fontId="29" fillId="31" borderId="0" xfId="0" applyFont="1" applyFill="1"/>
    <xf numFmtId="0" fontId="104" fillId="38" borderId="12" xfId="1" applyFont="1" applyFill="1" applyBorder="1" applyAlignment="1" applyProtection="1"/>
    <xf numFmtId="0" fontId="29" fillId="38" borderId="0" xfId="0" applyFont="1" applyFill="1"/>
    <xf numFmtId="0" fontId="104" fillId="34" borderId="12" xfId="1" applyFont="1" applyFill="1" applyBorder="1" applyAlignment="1" applyProtection="1"/>
    <xf numFmtId="0" fontId="29" fillId="34" borderId="0" xfId="0" applyFont="1" applyFill="1"/>
    <xf numFmtId="0" fontId="104" fillId="5" borderId="12" xfId="1" applyFont="1" applyFill="1" applyBorder="1" applyAlignment="1" applyProtection="1"/>
    <xf numFmtId="0" fontId="29" fillId="5" borderId="0" xfId="0" applyFont="1" applyFill="1"/>
    <xf numFmtId="0" fontId="104" fillId="41" borderId="12" xfId="1" applyFont="1" applyFill="1" applyBorder="1" applyAlignment="1" applyProtection="1"/>
    <xf numFmtId="0" fontId="29" fillId="41" borderId="0" xfId="0" applyFont="1" applyFill="1"/>
    <xf numFmtId="0" fontId="104" fillId="27" borderId="12" xfId="1" applyFont="1" applyFill="1" applyBorder="1" applyAlignment="1" applyProtection="1"/>
    <xf numFmtId="0" fontId="29" fillId="27" borderId="0" xfId="0" applyFont="1" applyFill="1"/>
    <xf numFmtId="0" fontId="104" fillId="14" borderId="12" xfId="1" applyFont="1" applyFill="1" applyBorder="1" applyAlignment="1" applyProtection="1"/>
    <xf numFmtId="0" fontId="29" fillId="14" borderId="0" xfId="0" applyFont="1" applyFill="1"/>
    <xf numFmtId="0" fontId="104" fillId="3" borderId="12" xfId="1" applyFont="1" applyFill="1" applyBorder="1" applyAlignment="1" applyProtection="1"/>
    <xf numFmtId="0" fontId="104" fillId="44" borderId="12" xfId="1" applyFont="1" applyFill="1" applyBorder="1" applyAlignment="1" applyProtection="1"/>
    <xf numFmtId="0" fontId="104" fillId="44" borderId="0" xfId="1" applyFont="1" applyFill="1" applyAlignment="1" applyProtection="1"/>
    <xf numFmtId="0" fontId="104" fillId="45" borderId="0" xfId="1" applyFont="1" applyFill="1" applyAlignment="1" applyProtection="1"/>
    <xf numFmtId="0" fontId="29" fillId="45" borderId="0" xfId="0" applyFont="1" applyFill="1"/>
    <xf numFmtId="0" fontId="104" fillId="4" borderId="12" xfId="1" applyFont="1" applyFill="1" applyBorder="1" applyAlignment="1" applyProtection="1">
      <alignment horizontal="left"/>
    </xf>
    <xf numFmtId="0" fontId="104" fillId="4" borderId="0" xfId="1" applyFont="1" applyFill="1" applyBorder="1" applyAlignment="1" applyProtection="1">
      <alignment horizontal="left"/>
    </xf>
    <xf numFmtId="0" fontId="104" fillId="19" borderId="12" xfId="1" applyFont="1" applyFill="1" applyBorder="1" applyAlignment="1" applyProtection="1"/>
    <xf numFmtId="0" fontId="104" fillId="19" borderId="0" xfId="1" applyFont="1" applyFill="1" applyBorder="1" applyAlignment="1" applyProtection="1"/>
    <xf numFmtId="0" fontId="104" fillId="12" borderId="12" xfId="1" applyFont="1" applyFill="1" applyBorder="1" applyAlignment="1" applyProtection="1">
      <alignment horizontal="left"/>
    </xf>
    <xf numFmtId="0" fontId="104" fillId="12" borderId="0" xfId="1" applyFont="1" applyFill="1" applyBorder="1" applyAlignment="1" applyProtection="1">
      <alignment horizontal="left"/>
    </xf>
    <xf numFmtId="0" fontId="104" fillId="3" borderId="12" xfId="1" applyFont="1" applyFill="1" applyBorder="1" applyAlignment="1" applyProtection="1">
      <alignment horizontal="left"/>
    </xf>
    <xf numFmtId="0" fontId="104" fillId="3" borderId="0" xfId="1" applyFont="1" applyFill="1" applyBorder="1" applyAlignment="1" applyProtection="1">
      <alignment horizontal="left"/>
    </xf>
    <xf numFmtId="0" fontId="104" fillId="10" borderId="12" xfId="1" applyFont="1" applyFill="1" applyBorder="1" applyAlignment="1" applyProtection="1">
      <alignment horizontal="left"/>
    </xf>
    <xf numFmtId="0" fontId="104" fillId="10" borderId="0" xfId="1" applyFont="1" applyFill="1" applyBorder="1" applyAlignment="1" applyProtection="1">
      <alignment horizontal="left"/>
    </xf>
    <xf numFmtId="0" fontId="104" fillId="17" borderId="12" xfId="1" applyFont="1" applyFill="1" applyBorder="1" applyAlignment="1" applyProtection="1"/>
    <xf numFmtId="0" fontId="29" fillId="17" borderId="0" xfId="0" applyFont="1" applyFill="1"/>
    <xf numFmtId="0" fontId="104" fillId="18" borderId="12" xfId="1" applyFont="1" applyFill="1" applyBorder="1" applyAlignment="1" applyProtection="1">
      <alignment horizontal="left"/>
    </xf>
    <xf numFmtId="0" fontId="29" fillId="18" borderId="0" xfId="0" applyFont="1" applyFill="1" applyAlignment="1">
      <alignment horizontal="left"/>
    </xf>
    <xf numFmtId="0" fontId="27" fillId="10" borderId="28" xfId="1" applyFont="1" applyFill="1" applyBorder="1" applyAlignment="1" applyProtection="1"/>
    <xf numFmtId="0" fontId="58" fillId="4" borderId="12" xfId="1" applyFont="1" applyFill="1" applyBorder="1" applyAlignment="1" applyProtection="1">
      <alignment horizontal="left"/>
    </xf>
    <xf numFmtId="0" fontId="58" fillId="19" borderId="12" xfId="1" applyFont="1" applyFill="1" applyBorder="1" applyAlignment="1" applyProtection="1"/>
    <xf numFmtId="0" fontId="58" fillId="12" borderId="12" xfId="1" applyFont="1" applyFill="1" applyBorder="1" applyAlignment="1" applyProtection="1">
      <alignment horizontal="left"/>
    </xf>
    <xf numFmtId="0" fontId="58" fillId="13" borderId="0" xfId="1" applyFont="1" applyFill="1" applyAlignment="1" applyProtection="1"/>
    <xf numFmtId="0" fontId="58" fillId="14" borderId="0" xfId="1" applyFont="1" applyFill="1" applyAlignment="1" applyProtection="1"/>
    <xf numFmtId="0" fontId="58" fillId="28" borderId="0" xfId="1" applyFont="1" applyFill="1" applyAlignment="1" applyProtection="1"/>
    <xf numFmtId="0" fontId="58" fillId="16" borderId="0" xfId="1" applyFont="1" applyFill="1" applyAlignment="1" applyProtection="1"/>
    <xf numFmtId="0" fontId="105" fillId="20" borderId="0" xfId="1" applyFont="1" applyFill="1" applyBorder="1" applyAlignment="1" applyProtection="1"/>
    <xf numFmtId="0" fontId="20" fillId="3" borderId="0" xfId="0" applyFont="1" applyFill="1" applyAlignment="1">
      <alignment wrapText="1"/>
    </xf>
    <xf numFmtId="0" fontId="7" fillId="0" borderId="0" xfId="0" applyFont="1"/>
    <xf numFmtId="0" fontId="1" fillId="0" borderId="37" xfId="0" applyFont="1" applyBorder="1"/>
    <xf numFmtId="0" fontId="1" fillId="0" borderId="1" xfId="0" applyFont="1" applyBorder="1"/>
    <xf numFmtId="0" fontId="107" fillId="0" borderId="0" xfId="0" applyFont="1"/>
    <xf numFmtId="0" fontId="27" fillId="40" borderId="20" xfId="1" applyFont="1" applyFill="1" applyBorder="1" applyAlignment="1" applyProtection="1">
      <alignment horizontal="center"/>
    </xf>
    <xf numFmtId="0" fontId="27" fillId="40" borderId="30" xfId="1" applyFont="1" applyFill="1" applyBorder="1" applyAlignment="1" applyProtection="1">
      <alignment horizontal="center"/>
    </xf>
    <xf numFmtId="0" fontId="27" fillId="40" borderId="21" xfId="1" applyFont="1" applyFill="1" applyBorder="1" applyAlignment="1" applyProtection="1">
      <alignment horizontal="center"/>
    </xf>
    <xf numFmtId="0" fontId="20" fillId="3" borderId="0" xfId="0" applyFont="1" applyFill="1" applyAlignment="1">
      <alignment horizontal="left"/>
    </xf>
    <xf numFmtId="0" fontId="19" fillId="3" borderId="12" xfId="0" applyFont="1" applyFill="1" applyBorder="1" applyAlignment="1">
      <alignment vertical="center" wrapText="1"/>
    </xf>
    <xf numFmtId="0" fontId="19" fillId="3" borderId="0" xfId="0" applyFont="1" applyFill="1" applyAlignment="1">
      <alignment vertical="center" wrapText="1"/>
    </xf>
    <xf numFmtId="0" fontId="22" fillId="3" borderId="12" xfId="0" applyFont="1" applyFill="1" applyBorder="1" applyAlignment="1">
      <alignment vertical="center" wrapText="1"/>
    </xf>
    <xf numFmtId="0" fontId="22" fillId="3" borderId="0" xfId="0" applyFont="1" applyFill="1" applyAlignment="1">
      <alignment vertical="center" wrapText="1"/>
    </xf>
    <xf numFmtId="0" fontId="22" fillId="3" borderId="11" xfId="0" applyFont="1" applyFill="1" applyBorder="1" applyAlignment="1">
      <alignment vertical="center" wrapText="1"/>
    </xf>
    <xf numFmtId="0" fontId="16" fillId="11" borderId="12" xfId="1" applyFont="1" applyFill="1" applyBorder="1" applyAlignment="1" applyProtection="1">
      <alignment horizontal="left" wrapText="1"/>
    </xf>
    <xf numFmtId="0" fontId="16" fillId="11" borderId="0" xfId="1" applyFont="1" applyFill="1" applyBorder="1" applyAlignment="1" applyProtection="1">
      <alignment horizontal="left" wrapText="1"/>
    </xf>
    <xf numFmtId="0" fontId="33" fillId="3" borderId="0" xfId="0" applyFont="1" applyFill="1" applyAlignment="1">
      <alignment wrapText="1"/>
    </xf>
    <xf numFmtId="0" fontId="33" fillId="3" borderId="11" xfId="0" applyFont="1" applyFill="1" applyBorder="1" applyAlignment="1">
      <alignment wrapText="1"/>
    </xf>
    <xf numFmtId="0" fontId="33" fillId="3" borderId="1" xfId="0" applyFont="1" applyFill="1" applyBorder="1" applyAlignment="1">
      <alignment wrapText="1"/>
    </xf>
    <xf numFmtId="0" fontId="33" fillId="3" borderId="17" xfId="0" applyFont="1" applyFill="1" applyBorder="1" applyAlignment="1">
      <alignment wrapText="1"/>
    </xf>
    <xf numFmtId="0" fontId="20" fillId="3" borderId="0" xfId="0" applyFont="1" applyFill="1" applyAlignment="1">
      <alignment horizontal="center"/>
    </xf>
    <xf numFmtId="0" fontId="104" fillId="33" borderId="12" xfId="1" applyFont="1" applyFill="1" applyBorder="1" applyAlignment="1" applyProtection="1">
      <alignment horizontal="left"/>
    </xf>
    <xf numFmtId="0" fontId="104" fillId="33" borderId="0" xfId="1" applyFont="1" applyFill="1" applyBorder="1" applyAlignment="1" applyProtection="1">
      <alignment horizontal="left"/>
    </xf>
    <xf numFmtId="0" fontId="104" fillId="9" borderId="12" xfId="1" applyFont="1" applyFill="1" applyBorder="1" applyAlignment="1" applyProtection="1">
      <alignment horizontal="left"/>
    </xf>
    <xf numFmtId="0" fontId="104" fillId="9" borderId="0" xfId="1" applyFont="1" applyFill="1" applyBorder="1" applyAlignment="1" applyProtection="1">
      <alignment horizontal="left"/>
    </xf>
    <xf numFmtId="0" fontId="104" fillId="11" borderId="12" xfId="1" applyFont="1" applyFill="1" applyBorder="1" applyAlignment="1" applyProtection="1">
      <alignment horizontal="left"/>
    </xf>
    <xf numFmtId="0" fontId="104" fillId="11" borderId="0" xfId="1" applyFont="1" applyFill="1" applyBorder="1" applyAlignment="1" applyProtection="1">
      <alignment horizontal="left"/>
    </xf>
    <xf numFmtId="0" fontId="104" fillId="13" borderId="12" xfId="1" applyFont="1" applyFill="1" applyBorder="1" applyAlignment="1" applyProtection="1">
      <alignment horizontal="left"/>
    </xf>
    <xf numFmtId="0" fontId="104" fillId="13" borderId="42" xfId="1" applyFont="1" applyFill="1" applyBorder="1" applyAlignment="1" applyProtection="1">
      <alignment horizontal="left"/>
    </xf>
    <xf numFmtId="0" fontId="104" fillId="14" borderId="12" xfId="1" applyFont="1" applyFill="1" applyBorder="1" applyAlignment="1" applyProtection="1">
      <alignment horizontal="left"/>
    </xf>
    <xf numFmtId="0" fontId="104" fillId="14" borderId="42" xfId="1" applyFont="1" applyFill="1" applyBorder="1" applyAlignment="1" applyProtection="1">
      <alignment horizontal="left"/>
    </xf>
    <xf numFmtId="0" fontId="104" fillId="15" borderId="12" xfId="1" applyFont="1" applyFill="1" applyBorder="1" applyAlignment="1" applyProtection="1">
      <alignment horizontal="left"/>
    </xf>
    <xf numFmtId="0" fontId="104" fillId="15" borderId="0" xfId="1" applyFont="1" applyFill="1" applyBorder="1" applyAlignment="1" applyProtection="1">
      <alignment horizontal="left"/>
    </xf>
    <xf numFmtId="0" fontId="104" fillId="16" borderId="12" xfId="1" applyFont="1" applyFill="1" applyBorder="1" applyAlignment="1" applyProtection="1">
      <alignment horizontal="left"/>
    </xf>
    <xf numFmtId="0" fontId="104" fillId="16" borderId="0" xfId="1" applyFont="1" applyFill="1" applyBorder="1" applyAlignment="1" applyProtection="1">
      <alignment horizontal="left"/>
    </xf>
    <xf numFmtId="0" fontId="45" fillId="3" borderId="12" xfId="0" applyFont="1" applyFill="1" applyBorder="1" applyAlignment="1">
      <alignment horizontal="left" wrapText="1"/>
    </xf>
    <xf numFmtId="0" fontId="45" fillId="3" borderId="0" xfId="0" applyFont="1" applyFill="1" applyAlignment="1">
      <alignment horizontal="left" wrapText="1"/>
    </xf>
    <xf numFmtId="0" fontId="20" fillId="10" borderId="0" xfId="0" applyFont="1" applyFill="1" applyAlignment="1">
      <alignment horizontal="center" wrapText="1"/>
    </xf>
    <xf numFmtId="0" fontId="19" fillId="10" borderId="24" xfId="0" applyFont="1" applyFill="1" applyBorder="1" applyAlignment="1">
      <alignment horizontal="center"/>
    </xf>
    <xf numFmtId="0" fontId="19" fillId="10" borderId="25" xfId="0" applyFont="1" applyFill="1" applyBorder="1" applyAlignment="1">
      <alignment horizontal="center"/>
    </xf>
    <xf numFmtId="0" fontId="19" fillId="10" borderId="12" xfId="0" applyFont="1" applyFill="1" applyBorder="1" applyAlignment="1">
      <alignment wrapText="1"/>
    </xf>
    <xf numFmtId="0" fontId="19" fillId="10" borderId="0" xfId="0" applyFont="1" applyFill="1" applyAlignment="1">
      <alignment wrapText="1"/>
    </xf>
    <xf numFmtId="0" fontId="19" fillId="10" borderId="11" xfId="0" applyFont="1" applyFill="1" applyBorder="1" applyAlignment="1">
      <alignment wrapText="1"/>
    </xf>
    <xf numFmtId="0" fontId="25" fillId="11" borderId="12" xfId="1" applyFont="1" applyFill="1" applyBorder="1" applyAlignment="1" applyProtection="1">
      <alignment horizontal="left"/>
    </xf>
    <xf numFmtId="0" fontId="25" fillId="11" borderId="0" xfId="1" applyFont="1" applyFill="1" applyBorder="1" applyAlignment="1" applyProtection="1">
      <alignment horizontal="left"/>
    </xf>
    <xf numFmtId="0" fontId="27" fillId="20" borderId="28" xfId="0" quotePrefix="1" applyFont="1" applyFill="1" applyBorder="1" applyAlignment="1">
      <alignment horizontal="left"/>
    </xf>
    <xf numFmtId="0" fontId="27" fillId="20" borderId="29" xfId="0" applyFont="1" applyFill="1" applyBorder="1" applyAlignment="1">
      <alignment horizontal="left"/>
    </xf>
    <xf numFmtId="0" fontId="27" fillId="11" borderId="28" xfId="1" quotePrefix="1" applyFont="1" applyFill="1" applyBorder="1" applyAlignment="1" applyProtection="1">
      <alignment horizontal="left"/>
    </xf>
    <xf numFmtId="0" fontId="27" fillId="11" borderId="29" xfId="1" applyFont="1" applyFill="1" applyBorder="1" applyAlignment="1" applyProtection="1">
      <alignment horizontal="left"/>
    </xf>
    <xf numFmtId="0" fontId="19" fillId="11" borderId="12" xfId="0" quotePrefix="1" applyFont="1" applyFill="1" applyBorder="1" applyAlignment="1">
      <alignment horizontal="left" wrapText="1"/>
    </xf>
    <xf numFmtId="0" fontId="19" fillId="11" borderId="0" xfId="0" quotePrefix="1" applyFont="1" applyFill="1" applyAlignment="1">
      <alignment horizontal="left" wrapText="1"/>
    </xf>
    <xf numFmtId="0" fontId="19" fillId="11" borderId="0" xfId="0" applyFont="1" applyFill="1" applyAlignment="1">
      <alignment horizontal="left"/>
    </xf>
    <xf numFmtId="0" fontId="45" fillId="3" borderId="6" xfId="0" applyFont="1" applyFill="1" applyBorder="1" applyAlignment="1">
      <alignment horizontal="left" wrapText="1"/>
    </xf>
    <xf numFmtId="0" fontId="45" fillId="3" borderId="4" xfId="0" applyFont="1" applyFill="1" applyBorder="1" applyAlignment="1">
      <alignment horizontal="left" wrapText="1"/>
    </xf>
    <xf numFmtId="0" fontId="45" fillId="3" borderId="14" xfId="0" applyFont="1" applyFill="1" applyBorder="1" applyAlignment="1">
      <alignment horizontal="left" wrapText="1"/>
    </xf>
    <xf numFmtId="0" fontId="17" fillId="3" borderId="14" xfId="0" applyFont="1" applyFill="1" applyBorder="1" applyAlignment="1">
      <alignment horizontal="left" wrapText="1"/>
    </xf>
    <xf numFmtId="0" fontId="17" fillId="3" borderId="0" xfId="0" applyFont="1" applyFill="1" applyAlignment="1">
      <alignment horizontal="left" wrapText="1"/>
    </xf>
    <xf numFmtId="0" fontId="22" fillId="3" borderId="14" xfId="0" applyFont="1" applyFill="1" applyBorder="1" applyAlignment="1">
      <alignment wrapText="1"/>
    </xf>
    <xf numFmtId="0" fontId="22" fillId="3" borderId="0" xfId="0" applyFont="1" applyFill="1" applyAlignment="1">
      <alignment wrapText="1"/>
    </xf>
    <xf numFmtId="0" fontId="22" fillId="3" borderId="15" xfId="0" applyFont="1" applyFill="1" applyBorder="1" applyAlignment="1">
      <alignment wrapText="1"/>
    </xf>
    <xf numFmtId="0" fontId="18" fillId="25" borderId="0" xfId="0" applyFont="1" applyFill="1" applyAlignment="1">
      <alignment horizontal="center"/>
    </xf>
    <xf numFmtId="0" fontId="18" fillId="20" borderId="0" xfId="0" applyFont="1" applyFill="1" applyAlignment="1">
      <alignment horizontal="center" wrapText="1"/>
    </xf>
    <xf numFmtId="0" fontId="18" fillId="20" borderId="0" xfId="0" applyFont="1" applyFill="1" applyAlignment="1">
      <alignment horizontal="right"/>
    </xf>
    <xf numFmtId="0" fontId="18" fillId="20" borderId="0" xfId="0" applyFont="1" applyFill="1" applyAlignment="1">
      <alignment horizontal="center"/>
    </xf>
    <xf numFmtId="0" fontId="18" fillId="9" borderId="0" xfId="0" applyFont="1" applyFill="1" applyAlignment="1">
      <alignment horizontal="center"/>
    </xf>
    <xf numFmtId="0" fontId="18" fillId="10" borderId="0" xfId="0" applyFont="1" applyFill="1" applyAlignment="1">
      <alignment horizontal="center"/>
    </xf>
    <xf numFmtId="0" fontId="26" fillId="0" borderId="0" xfId="1" applyFont="1" applyAlignment="1" applyProtection="1">
      <alignment horizontal="center"/>
    </xf>
    <xf numFmtId="0" fontId="18" fillId="23" borderId="0" xfId="0" applyFont="1" applyFill="1" applyAlignment="1">
      <alignment horizontal="center"/>
    </xf>
    <xf numFmtId="0" fontId="18" fillId="7" borderId="0" xfId="0" applyFont="1" applyFill="1" applyAlignment="1">
      <alignment horizontal="center"/>
    </xf>
    <xf numFmtId="2" fontId="18" fillId="7" borderId="0" xfId="0" applyNumberFormat="1" applyFont="1" applyFill="1" applyAlignment="1">
      <alignment horizontal="center"/>
    </xf>
    <xf numFmtId="0" fontId="18" fillId="5" borderId="0" xfId="0" applyFont="1" applyFill="1" applyAlignment="1">
      <alignment horizontal="center"/>
    </xf>
    <xf numFmtId="0" fontId="17" fillId="0" borderId="20" xfId="0" applyFont="1" applyBorder="1" applyAlignment="1">
      <alignment horizontal="left" wrapText="1"/>
    </xf>
    <xf numFmtId="0" fontId="17" fillId="0" borderId="30" xfId="0" applyFont="1" applyBorder="1" applyAlignment="1">
      <alignment horizontal="left" wrapText="1"/>
    </xf>
    <xf numFmtId="0" fontId="17" fillId="0" borderId="21" xfId="0" applyFont="1" applyBorder="1" applyAlignment="1">
      <alignment horizontal="left" wrapText="1"/>
    </xf>
    <xf numFmtId="0" fontId="25" fillId="3" borderId="14" xfId="1" applyFont="1" applyFill="1" applyBorder="1" applyAlignment="1" applyProtection="1">
      <alignment horizontal="left" wrapText="1"/>
    </xf>
    <xf numFmtId="0" fontId="25" fillId="3" borderId="0" xfId="1" applyFont="1" applyFill="1" applyBorder="1" applyAlignment="1" applyProtection="1">
      <alignment horizontal="left" wrapText="1"/>
    </xf>
    <xf numFmtId="0" fontId="22" fillId="3" borderId="0" xfId="0" applyFont="1" applyFill="1" applyAlignment="1">
      <alignment horizontal="left" wrapText="1"/>
    </xf>
    <xf numFmtId="0" fontId="25" fillId="3" borderId="14" xfId="1" applyFont="1" applyFill="1" applyBorder="1" applyAlignment="1" applyProtection="1">
      <alignment wrapText="1"/>
    </xf>
    <xf numFmtId="0" fontId="25" fillId="3" borderId="0" xfId="1" applyFont="1" applyFill="1" applyBorder="1" applyAlignment="1" applyProtection="1">
      <alignment wrapText="1"/>
    </xf>
    <xf numFmtId="0" fontId="5" fillId="3" borderId="0" xfId="0" applyFont="1" applyFill="1" applyAlignment="1">
      <alignment horizontal="center"/>
    </xf>
    <xf numFmtId="0" fontId="5" fillId="3" borderId="15" xfId="0" applyFont="1" applyFill="1" applyBorder="1" applyAlignment="1">
      <alignment horizontal="center"/>
    </xf>
    <xf numFmtId="0" fontId="5" fillId="3" borderId="0" xfId="0" applyFont="1" applyFill="1" applyAlignment="1">
      <alignment horizontal="left"/>
    </xf>
    <xf numFmtId="0" fontId="58" fillId="3" borderId="14" xfId="1" applyFont="1" applyFill="1" applyBorder="1" applyAlignment="1" applyProtection="1">
      <alignment horizontal="left" wrapText="1"/>
    </xf>
    <xf numFmtId="0" fontId="58" fillId="3" borderId="0" xfId="1" applyFont="1" applyFill="1" applyBorder="1" applyAlignment="1" applyProtection="1">
      <alignment horizontal="left" wrapText="1"/>
    </xf>
    <xf numFmtId="0" fontId="22" fillId="3" borderId="14" xfId="1" applyFont="1" applyFill="1" applyBorder="1" applyAlignment="1" applyProtection="1">
      <alignment horizontal="left" wrapText="1"/>
    </xf>
    <xf numFmtId="0" fontId="22" fillId="3" borderId="0" xfId="1" applyFont="1" applyFill="1" applyBorder="1" applyAlignment="1" applyProtection="1">
      <alignment horizontal="left" wrapText="1"/>
    </xf>
    <xf numFmtId="0" fontId="20" fillId="3" borderId="0" xfId="0" applyFont="1" applyFill="1"/>
    <xf numFmtId="0" fontId="24" fillId="0" borderId="0" xfId="1" applyFont="1" applyAlignment="1" applyProtection="1">
      <alignment horizontal="left"/>
    </xf>
    <xf numFmtId="0" fontId="5" fillId="3" borderId="0" xfId="0" applyFont="1" applyFill="1"/>
    <xf numFmtId="0" fontId="18" fillId="20" borderId="0" xfId="0" applyFont="1" applyFill="1" applyAlignment="1">
      <alignment wrapText="1"/>
    </xf>
    <xf numFmtId="0" fontId="20" fillId="46" borderId="3" xfId="0" applyFont="1" applyFill="1" applyBorder="1" applyAlignment="1">
      <alignment horizontal="center"/>
    </xf>
    <xf numFmtId="0" fontId="22" fillId="0" borderId="0" xfId="1" applyFont="1" applyAlignment="1" applyProtection="1">
      <alignment horizontal="left" wrapText="1"/>
    </xf>
    <xf numFmtId="0" fontId="24" fillId="0" borderId="0" xfId="1" applyFont="1" applyAlignment="1" applyProtection="1">
      <alignment horizontal="center"/>
    </xf>
    <xf numFmtId="0" fontId="20" fillId="30" borderId="3" xfId="0" applyFont="1" applyFill="1" applyBorder="1" applyAlignment="1">
      <alignment horizontal="center"/>
    </xf>
    <xf numFmtId="0" fontId="5" fillId="0" borderId="0" xfId="0" applyFont="1" applyAlignment="1">
      <alignment horizontal="left"/>
    </xf>
    <xf numFmtId="0" fontId="18" fillId="33" borderId="0" xfId="0" applyFont="1" applyFill="1" applyAlignment="1">
      <alignment horizontal="center"/>
    </xf>
    <xf numFmtId="0" fontId="18" fillId="20" borderId="0" xfId="0" applyFont="1" applyFill="1" applyAlignment="1">
      <alignment horizontal="left" vertical="top" wrapText="1"/>
    </xf>
    <xf numFmtId="0" fontId="95" fillId="3" borderId="46" xfId="1" applyFont="1" applyFill="1" applyBorder="1" applyAlignment="1" applyProtection="1">
      <alignment horizontal="center" vertical="center" wrapText="1"/>
    </xf>
    <xf numFmtId="0" fontId="106" fillId="20" borderId="14" xfId="1" applyFont="1" applyFill="1" applyBorder="1" applyAlignment="1" applyProtection="1">
      <alignment horizontal="center"/>
    </xf>
    <xf numFmtId="0" fontId="106" fillId="20" borderId="0" xfId="1" applyFont="1" applyFill="1" applyBorder="1" applyAlignment="1" applyProtection="1">
      <alignment horizontal="center"/>
    </xf>
    <xf numFmtId="0" fontId="9" fillId="0" borderId="0" xfId="1" applyAlignment="1" applyProtection="1">
      <alignment horizontal="left"/>
    </xf>
    <xf numFmtId="0" fontId="98" fillId="43" borderId="0" xfId="0" applyFont="1" applyFill="1" applyAlignment="1">
      <alignment horizontal="left" wrapText="1"/>
    </xf>
    <xf numFmtId="0" fontId="98" fillId="0" borderId="0" xfId="0" applyFont="1" applyAlignment="1">
      <alignment horizontal="left" wrapText="1"/>
    </xf>
    <xf numFmtId="0" fontId="20" fillId="16" borderId="3" xfId="0" applyFont="1" applyFill="1" applyBorder="1" applyAlignment="1">
      <alignment horizontal="center"/>
    </xf>
    <xf numFmtId="0" fontId="9" fillId="0" borderId="0" xfId="1" applyAlignment="1" applyProtection="1">
      <alignment horizontal="center"/>
    </xf>
    <xf numFmtId="0" fontId="18" fillId="20" borderId="0" xfId="0" applyFont="1" applyFill="1" applyAlignment="1">
      <alignment horizontal="left" wrapText="1"/>
    </xf>
    <xf numFmtId="0" fontId="98" fillId="0" borderId="0" xfId="0" applyFont="1" applyAlignment="1">
      <alignment horizontal="center" wrapText="1"/>
    </xf>
    <xf numFmtId="0" fontId="98" fillId="0" borderId="4" xfId="0" applyFont="1" applyBorder="1" applyAlignment="1">
      <alignment horizontal="center" wrapText="1"/>
    </xf>
    <xf numFmtId="0" fontId="98" fillId="0" borderId="0" xfId="0" applyFont="1" applyAlignment="1">
      <alignment horizontal="left" vertical="top" wrapText="1"/>
    </xf>
    <xf numFmtId="0" fontId="98" fillId="0" borderId="4" xfId="0" applyFont="1" applyBorder="1" applyAlignment="1">
      <alignment horizontal="left" vertical="top" wrapText="1"/>
    </xf>
    <xf numFmtId="0" fontId="105" fillId="20" borderId="20" xfId="1" applyFont="1" applyFill="1" applyBorder="1" applyAlignment="1" applyProtection="1">
      <alignment horizontal="center"/>
    </xf>
    <xf numFmtId="0" fontId="105" fillId="20" borderId="30" xfId="1" applyFont="1" applyFill="1" applyBorder="1" applyAlignment="1" applyProtection="1">
      <alignment horizontal="center"/>
    </xf>
    <xf numFmtId="0" fontId="105" fillId="20" borderId="21" xfId="1" applyFont="1" applyFill="1" applyBorder="1" applyAlignment="1" applyProtection="1">
      <alignment horizontal="center"/>
    </xf>
    <xf numFmtId="0" fontId="19" fillId="0" borderId="0" xfId="0" applyFont="1" applyAlignment="1">
      <alignment horizontal="left" wrapText="1"/>
    </xf>
    <xf numFmtId="0" fontId="105" fillId="20" borderId="13" xfId="1" applyFont="1" applyFill="1" applyBorder="1" applyAlignment="1" applyProtection="1">
      <alignment horizontal="center"/>
    </xf>
    <xf numFmtId="0" fontId="105" fillId="20" borderId="2" xfId="1" applyFont="1" applyFill="1" applyBorder="1" applyAlignment="1" applyProtection="1">
      <alignment horizontal="center"/>
    </xf>
    <xf numFmtId="0" fontId="105" fillId="20" borderId="19" xfId="1" applyFont="1" applyFill="1" applyBorder="1" applyAlignment="1" applyProtection="1">
      <alignment horizontal="center"/>
    </xf>
    <xf numFmtId="0" fontId="20" fillId="8" borderId="3" xfId="0" applyFont="1" applyFill="1" applyBorder="1" applyAlignment="1">
      <alignment horizontal="center"/>
    </xf>
    <xf numFmtId="0" fontId="18" fillId="16" borderId="0" xfId="0" applyFont="1" applyFill="1" applyAlignment="1">
      <alignment horizontal="center"/>
    </xf>
    <xf numFmtId="0" fontId="22" fillId="3" borderId="14" xfId="1" applyFont="1" applyFill="1" applyBorder="1" applyAlignment="1" applyProtection="1"/>
    <xf numFmtId="0" fontId="22" fillId="3" borderId="0" xfId="1" applyFont="1" applyFill="1" applyBorder="1" applyAlignment="1" applyProtection="1"/>
    <xf numFmtId="0" fontId="18" fillId="0" borderId="0" xfId="0" applyFont="1" applyAlignment="1">
      <alignment horizontal="left" wrapText="1"/>
    </xf>
    <xf numFmtId="0" fontId="17" fillId="0" borderId="20" xfId="0" quotePrefix="1" applyFont="1" applyBorder="1" applyAlignment="1">
      <alignment horizontal="left"/>
    </xf>
    <xf numFmtId="0" fontId="17" fillId="0" borderId="30" xfId="0" quotePrefix="1" applyFont="1" applyBorder="1" applyAlignment="1">
      <alignment horizontal="left"/>
    </xf>
    <xf numFmtId="0" fontId="17" fillId="0" borderId="21" xfId="0" quotePrefix="1" applyFont="1" applyBorder="1" applyAlignment="1">
      <alignment horizontal="left"/>
    </xf>
    <xf numFmtId="0" fontId="75" fillId="3" borderId="14" xfId="1" applyFont="1" applyFill="1" applyBorder="1" applyAlignment="1" applyProtection="1"/>
    <xf numFmtId="0" fontId="75" fillId="3" borderId="0" xfId="1" applyFont="1" applyFill="1" applyBorder="1" applyAlignment="1" applyProtection="1"/>
    <xf numFmtId="0" fontId="75" fillId="3" borderId="14" xfId="1" applyFont="1" applyFill="1" applyBorder="1" applyAlignment="1" applyProtection="1">
      <alignment horizontal="left"/>
    </xf>
    <xf numFmtId="0" fontId="75" fillId="3" borderId="0" xfId="1" applyFont="1" applyFill="1" applyBorder="1" applyAlignment="1" applyProtection="1">
      <alignment horizontal="left"/>
    </xf>
    <xf numFmtId="0" fontId="9" fillId="3" borderId="14" xfId="1" applyFill="1" applyBorder="1" applyAlignment="1" applyProtection="1">
      <alignment horizontal="left" wrapText="1"/>
    </xf>
    <xf numFmtId="0" fontId="9" fillId="3" borderId="0" xfId="1" applyFill="1" applyBorder="1" applyAlignment="1" applyProtection="1">
      <alignment horizontal="left" wrapText="1"/>
    </xf>
    <xf numFmtId="0" fontId="58" fillId="3" borderId="14" xfId="1" applyFont="1" applyFill="1" applyBorder="1" applyAlignment="1" applyProtection="1">
      <alignment horizontal="left"/>
    </xf>
    <xf numFmtId="0" fontId="58" fillId="3" borderId="0" xfId="1" applyFont="1" applyFill="1" applyBorder="1" applyAlignment="1" applyProtection="1">
      <alignment horizontal="left"/>
    </xf>
    <xf numFmtId="0" fontId="26" fillId="3" borderId="0" xfId="1" applyFont="1" applyFill="1" applyAlignment="1" applyProtection="1">
      <alignment horizontal="center"/>
    </xf>
    <xf numFmtId="0" fontId="75" fillId="0" borderId="14" xfId="1" applyFont="1" applyFill="1" applyBorder="1" applyAlignment="1" applyProtection="1"/>
    <xf numFmtId="0" fontId="75" fillId="0" borderId="0" xfId="1" applyFont="1" applyFill="1" applyBorder="1" applyAlignment="1" applyProtection="1"/>
    <xf numFmtId="0" fontId="58" fillId="3" borderId="14" xfId="1" applyFont="1" applyFill="1" applyBorder="1" applyAlignment="1" applyProtection="1"/>
    <xf numFmtId="0" fontId="58" fillId="3" borderId="0" xfId="1" applyFont="1" applyFill="1" applyBorder="1" applyAlignment="1" applyProtection="1"/>
    <xf numFmtId="0" fontId="3" fillId="3" borderId="0" xfId="0" applyFont="1" applyFill="1" applyAlignment="1">
      <alignment horizontal="right"/>
    </xf>
    <xf numFmtId="0" fontId="58" fillId="0" borderId="14" xfId="1" applyFont="1" applyFill="1" applyBorder="1" applyAlignment="1" applyProtection="1">
      <alignment horizontal="left"/>
    </xf>
    <xf numFmtId="0" fontId="58" fillId="0" borderId="0" xfId="1" applyFont="1" applyFill="1" applyBorder="1" applyAlignment="1" applyProtection="1">
      <alignment horizontal="left"/>
    </xf>
    <xf numFmtId="0" fontId="25" fillId="3" borderId="14" xfId="1" applyFont="1" applyFill="1" applyBorder="1" applyAlignment="1" applyProtection="1"/>
    <xf numFmtId="0" fontId="25" fillId="3" borderId="0" xfId="1" applyFont="1" applyFill="1" applyBorder="1" applyAlignment="1" applyProtection="1"/>
    <xf numFmtId="0" fontId="18" fillId="37" borderId="0" xfId="0" applyFont="1" applyFill="1" applyAlignment="1">
      <alignment horizontal="center"/>
    </xf>
    <xf numFmtId="0" fontId="25" fillId="0" borderId="14" xfId="1" applyFont="1" applyFill="1" applyBorder="1" applyAlignment="1" applyProtection="1">
      <alignment horizontal="left"/>
    </xf>
    <xf numFmtId="0" fontId="25" fillId="0" borderId="0" xfId="1" applyFont="1" applyFill="1" applyBorder="1" applyAlignment="1" applyProtection="1">
      <alignment horizontal="left"/>
    </xf>
    <xf numFmtId="0" fontId="9" fillId="3" borderId="0" xfId="1" applyFill="1" applyAlignment="1" applyProtection="1">
      <alignment horizontal="center"/>
    </xf>
    <xf numFmtId="0" fontId="20" fillId="34" borderId="13" xfId="0" applyFont="1" applyFill="1" applyBorder="1" applyAlignment="1">
      <alignment horizontal="left" vertical="top"/>
    </xf>
    <xf numFmtId="0" fontId="3" fillId="34" borderId="2" xfId="0" applyFont="1" applyFill="1" applyBorder="1" applyAlignment="1">
      <alignment horizontal="left" vertical="top"/>
    </xf>
    <xf numFmtId="0" fontId="3" fillId="34" borderId="19" xfId="0" applyFont="1" applyFill="1" applyBorder="1" applyAlignment="1">
      <alignment horizontal="left" vertical="top"/>
    </xf>
    <xf numFmtId="0" fontId="20" fillId="34" borderId="13" xfId="0" applyFont="1" applyFill="1" applyBorder="1" applyAlignment="1">
      <alignment horizontal="left" vertical="center" wrapText="1"/>
    </xf>
    <xf numFmtId="0" fontId="3" fillId="34" borderId="2" xfId="0" applyFont="1" applyFill="1" applyBorder="1" applyAlignment="1">
      <alignment horizontal="left" vertical="center" wrapText="1"/>
    </xf>
    <xf numFmtId="0" fontId="20" fillId="7" borderId="13" xfId="0" applyFont="1" applyFill="1" applyBorder="1" applyAlignment="1">
      <alignment horizontal="left" vertical="center" wrapText="1"/>
    </xf>
    <xf numFmtId="0" fontId="3" fillId="7" borderId="2" xfId="0" applyFont="1" applyFill="1" applyBorder="1" applyAlignment="1">
      <alignment horizontal="left" vertical="center" wrapText="1"/>
    </xf>
    <xf numFmtId="0" fontId="3" fillId="7" borderId="19" xfId="0" applyFont="1" applyFill="1" applyBorder="1" applyAlignment="1">
      <alignment horizontal="left" vertical="center" wrapText="1"/>
    </xf>
    <xf numFmtId="0" fontId="9" fillId="0" borderId="0" xfId="1" quotePrefix="1" applyFill="1" applyAlignment="1" applyProtection="1"/>
    <xf numFmtId="0" fontId="20" fillId="34" borderId="13" xfId="0" applyFont="1" applyFill="1" applyBorder="1" applyAlignment="1">
      <alignment horizontal="left" vertical="center"/>
    </xf>
    <xf numFmtId="0" fontId="3" fillId="34" borderId="2" xfId="0" applyFont="1" applyFill="1" applyBorder="1" applyAlignment="1">
      <alignment horizontal="left" vertical="center"/>
    </xf>
    <xf numFmtId="0" fontId="3" fillId="34" borderId="19" xfId="0" applyFont="1" applyFill="1" applyBorder="1" applyAlignment="1">
      <alignment horizontal="left" vertical="center"/>
    </xf>
    <xf numFmtId="0" fontId="20" fillId="7" borderId="13" xfId="0" applyFont="1" applyFill="1" applyBorder="1" applyAlignment="1">
      <alignment horizontal="left" vertical="center"/>
    </xf>
    <xf numFmtId="0" fontId="3" fillId="7" borderId="2" xfId="0" applyFont="1" applyFill="1" applyBorder="1" applyAlignment="1">
      <alignment horizontal="left" vertical="center"/>
    </xf>
    <xf numFmtId="0" fontId="3" fillId="7" borderId="19" xfId="0" applyFont="1" applyFill="1" applyBorder="1" applyAlignment="1">
      <alignment horizontal="left" vertical="center"/>
    </xf>
    <xf numFmtId="0" fontId="20" fillId="7" borderId="0" xfId="0" applyFont="1" applyFill="1" applyAlignment="1">
      <alignment horizontal="center"/>
    </xf>
    <xf numFmtId="164" fontId="20" fillId="22" borderId="26" xfId="0" applyNumberFormat="1" applyFont="1" applyFill="1" applyBorder="1" applyAlignment="1">
      <alignment horizontal="center" wrapText="1"/>
    </xf>
    <xf numFmtId="164" fontId="20" fillId="22" borderId="23" xfId="0" applyNumberFormat="1" applyFont="1" applyFill="1" applyBorder="1" applyAlignment="1">
      <alignment horizontal="center" wrapText="1"/>
    </xf>
  </cellXfs>
  <cellStyles count="4">
    <cellStyle name="Hyperlänk" xfId="1" builtinId="8"/>
    <cellStyle name="Normaali 2" xfId="3" xr:uid="{5F0C0645-DF43-474D-A640-B867D7364B70}"/>
    <cellStyle name="Normal" xfId="0" builtinId="0"/>
    <cellStyle name="Procent" xfId="2" builtinId="5"/>
  </cellStyles>
  <dxfs count="0"/>
  <tableStyles count="0" defaultTableStyle="TableStyleMedium9" defaultPivotStyle="PivotStyleLight16"/>
  <colors>
    <mruColors>
      <color rgb="FF9BFE6A"/>
      <color rgb="FFFFFC91"/>
      <color rgb="FFF9C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Fördelning av rörliga kostnader</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170-E14F-9AC6-515F4F9680F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170-E14F-9AC6-515F4F9680F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170-E14F-9AC6-515F4F9680F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3170-E14F-9AC6-515F4F9680F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3170-E14F-9AC6-515F4F9680F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3170-E14F-9AC6-515F4F9680FE}"/>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3170-E14F-9AC6-515F4F9680FE}"/>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3170-E14F-9AC6-515F4F9680FE}"/>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3170-E14F-9AC6-515F4F9680FE}"/>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3170-E14F-9AC6-515F4F9680FE}"/>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BEF0-6B45-BDCB-C906A7354876}"/>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BEF0-6B45-BDCB-C906A7354876}"/>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BEF0-6B45-BDCB-C906A7354876}"/>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9D02-9749-96A1-9332030E2C4F}"/>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9D02-9749-96A1-9332030E2C4F}"/>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4E11-614B-86EC-BC2187F35DD6}"/>
              </c:ext>
            </c:extLst>
          </c:dPt>
          <c:dPt>
            <c:idx val="16"/>
            <c:bubble3D val="0"/>
            <c:spPr>
              <a:solidFill>
                <a:schemeClr val="accent5">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1-4E11-614B-86EC-BC2187F35DD6}"/>
              </c:ext>
            </c:extLst>
          </c:dPt>
          <c:dPt>
            <c:idx val="17"/>
            <c:bubble3D val="0"/>
            <c:spPr>
              <a:solidFill>
                <a:schemeClr val="accent6">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3-F9FE-924E-B43A-D1DC5A85ECC8}"/>
              </c:ext>
            </c:extLst>
          </c:dPt>
          <c:dPt>
            <c:idx val="18"/>
            <c:bubble3D val="0"/>
            <c:spPr>
              <a:solidFill>
                <a:schemeClr val="accent1">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5-F9FE-924E-B43A-D1DC5A85ECC8}"/>
              </c:ext>
            </c:extLst>
          </c:dPt>
          <c:dPt>
            <c:idx val="19"/>
            <c:bubble3D val="0"/>
            <c:spPr>
              <a:solidFill>
                <a:schemeClr val="accent2">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7-F9FE-924E-B43A-D1DC5A85ECC8}"/>
              </c:ext>
            </c:extLst>
          </c:dPt>
          <c:dPt>
            <c:idx val="20"/>
            <c:bubble3D val="0"/>
            <c:spPr>
              <a:solidFill>
                <a:schemeClr val="accent3">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9-F9FE-924E-B43A-D1DC5A85ECC8}"/>
              </c:ext>
            </c:extLst>
          </c:dPt>
          <c:dPt>
            <c:idx val="21"/>
            <c:bubble3D val="0"/>
            <c:spPr>
              <a:solidFill>
                <a:schemeClr val="accent4">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B-F9FE-924E-B43A-D1DC5A85ECC8}"/>
              </c:ext>
            </c:extLst>
          </c:dPt>
          <c:dPt>
            <c:idx val="22"/>
            <c:bubble3D val="0"/>
            <c:spPr>
              <a:solidFill>
                <a:schemeClr val="accent5">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D-7DD2-4D02-AE05-3150FC86434E}"/>
              </c:ext>
            </c:extLst>
          </c:dPt>
          <c:dPt>
            <c:idx val="23"/>
            <c:bubble3D val="0"/>
            <c:spPr>
              <a:solidFill>
                <a:schemeClr val="accent6">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F-41E1-5143-BEAD-9DB52927F25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'Hela gårdens lönsamhet'!$C$39:$C$62</c:f>
              <c:strCache>
                <c:ptCount val="24"/>
                <c:pt idx="0">
                  <c:v>Matpotatis</c:v>
                </c:pt>
                <c:pt idx="1">
                  <c:v>Morot</c:v>
                </c:pt>
                <c:pt idx="2">
                  <c:v>Kål </c:v>
                </c:pt>
                <c:pt idx="3">
                  <c:v>Lök</c:v>
                </c:pt>
                <c:pt idx="4">
                  <c:v>Sättlök</c:v>
                </c:pt>
                <c:pt idx="5">
                  <c:v>Trädgårdslök</c:v>
                </c:pt>
                <c:pt idx="6">
                  <c:v>Grönsak från frö 1</c:v>
                </c:pt>
                <c:pt idx="7">
                  <c:v>Grönsak från frö 2</c:v>
                </c:pt>
                <c:pt idx="8">
                  <c:v>Grönsak planterad 1</c:v>
                </c:pt>
                <c:pt idx="9">
                  <c:v>Grönsak planterad 2</c:v>
                </c:pt>
                <c:pt idx="10">
                  <c:v>Grönsak planterad 3</c:v>
                </c:pt>
                <c:pt idx="11">
                  <c:v>Jordgubbe friland</c:v>
                </c:pt>
                <c:pt idx="12">
                  <c:v>Jordgubbe tunnel</c:v>
                </c:pt>
                <c:pt idx="13">
                  <c:v>Hallon friland</c:v>
                </c:pt>
                <c:pt idx="14">
                  <c:v>Hallon tunnel</c:v>
                </c:pt>
                <c:pt idx="15">
                  <c:v>Svart vinbär</c:v>
                </c:pt>
                <c:pt idx="16">
                  <c:v>Buskblåbär</c:v>
                </c:pt>
                <c:pt idx="17">
                  <c:v>Äpple</c:v>
                </c:pt>
                <c:pt idx="18">
                  <c:v>Havre</c:v>
                </c:pt>
                <c:pt idx="19">
                  <c:v>Korn</c:v>
                </c:pt>
                <c:pt idx="20">
                  <c:v>Vete</c:v>
                </c:pt>
                <c:pt idx="21">
                  <c:v>Höstråg</c:v>
                </c:pt>
                <c:pt idx="22">
                  <c:v>Naturvårdsåker</c:v>
                </c:pt>
                <c:pt idx="23">
                  <c:v>Vall</c:v>
                </c:pt>
              </c:strCache>
            </c:strRef>
          </c:cat>
          <c:val>
            <c:numRef>
              <c:f>'Hela gårdens lönsamhet'!$J$39:$J$62</c:f>
              <c:numCache>
                <c:formatCode>#,##0</c:formatCode>
                <c:ptCount val="24"/>
                <c:pt idx="0">
                  <c:v>34091.219148936172</c:v>
                </c:pt>
                <c:pt idx="1">
                  <c:v>53077.219148936172</c:v>
                </c:pt>
                <c:pt idx="2">
                  <c:v>84352.052482269501</c:v>
                </c:pt>
                <c:pt idx="3">
                  <c:v>17871.850829787232</c:v>
                </c:pt>
                <c:pt idx="4">
                  <c:v>50138.459574468092</c:v>
                </c:pt>
                <c:pt idx="5">
                  <c:v>17216.223829787232</c:v>
                </c:pt>
                <c:pt idx="6">
                  <c:v>0</c:v>
                </c:pt>
                <c:pt idx="7">
                  <c:v>0</c:v>
                </c:pt>
                <c:pt idx="8">
                  <c:v>0</c:v>
                </c:pt>
                <c:pt idx="9">
                  <c:v>0</c:v>
                </c:pt>
                <c:pt idx="10">
                  <c:v>0</c:v>
                </c:pt>
                <c:pt idx="11">
                  <c:v>44443.579744680857</c:v>
                </c:pt>
                <c:pt idx="12">
                  <c:v>0</c:v>
                </c:pt>
                <c:pt idx="13">
                  <c:v>0</c:v>
                </c:pt>
                <c:pt idx="14">
                  <c:v>0</c:v>
                </c:pt>
                <c:pt idx="15">
                  <c:v>0</c:v>
                </c:pt>
                <c:pt idx="16">
                  <c:v>0</c:v>
                </c:pt>
                <c:pt idx="17">
                  <c:v>216788.92890780143</c:v>
                </c:pt>
                <c:pt idx="18">
                  <c:v>0</c:v>
                </c:pt>
                <c:pt idx="19">
                  <c:v>0</c:v>
                </c:pt>
                <c:pt idx="20">
                  <c:v>0</c:v>
                </c:pt>
                <c:pt idx="21">
                  <c:v>0</c:v>
                </c:pt>
                <c:pt idx="22">
                  <c:v>0</c:v>
                </c:pt>
                <c:pt idx="23">
                  <c:v>0</c:v>
                </c:pt>
              </c:numCache>
            </c:numRef>
          </c:val>
          <c:extLst>
            <c:ext xmlns:c16="http://schemas.microsoft.com/office/drawing/2014/chart" uri="{C3380CC4-5D6E-409C-BE32-E72D297353CC}">
              <c16:uniqueId val="{00000000-1B53-5E41-A0BD-B2B61540F0B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Fördelning av krav på egna lönekostnader</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7FE-D347-B3C5-DBB41C84E01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7FE-D347-B3C5-DBB41C84E01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7FE-D347-B3C5-DBB41C84E01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D7FE-D347-B3C5-DBB41C84E01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D7FE-D347-B3C5-DBB41C84E01D}"/>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D7FE-D347-B3C5-DBB41C84E01D}"/>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D7FE-D347-B3C5-DBB41C84E01D}"/>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D7FE-D347-B3C5-DBB41C84E01D}"/>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D7FE-D347-B3C5-DBB41C84E01D}"/>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D7FE-D347-B3C5-DBB41C84E01D}"/>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1C17-1F48-9AAA-5EC194E3CFC7}"/>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1C17-1F48-9AAA-5EC194E3CFC7}"/>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1C17-1F48-9AAA-5EC194E3CFC7}"/>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AA25-8F41-8CD3-0626773F32C1}"/>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AA25-8F41-8CD3-0626773F32C1}"/>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46E9-9E48-9592-C41C10FADCB3}"/>
              </c:ext>
            </c:extLst>
          </c:dPt>
          <c:dPt>
            <c:idx val="16"/>
            <c:bubble3D val="0"/>
            <c:spPr>
              <a:solidFill>
                <a:schemeClr val="accent5">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1-46E9-9E48-9592-C41C10FADCB3}"/>
              </c:ext>
            </c:extLst>
          </c:dPt>
          <c:dPt>
            <c:idx val="17"/>
            <c:bubble3D val="0"/>
            <c:spPr>
              <a:solidFill>
                <a:schemeClr val="accent6">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3-9C30-BB48-813A-B4AAAEEE4CAC}"/>
              </c:ext>
            </c:extLst>
          </c:dPt>
          <c:dPt>
            <c:idx val="18"/>
            <c:bubble3D val="0"/>
            <c:spPr>
              <a:solidFill>
                <a:schemeClr val="accent1">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5-9C30-BB48-813A-B4AAAEEE4CAC}"/>
              </c:ext>
            </c:extLst>
          </c:dPt>
          <c:dPt>
            <c:idx val="19"/>
            <c:bubble3D val="0"/>
            <c:spPr>
              <a:solidFill>
                <a:schemeClr val="accent2">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7-9C30-BB48-813A-B4AAAEEE4CAC}"/>
              </c:ext>
            </c:extLst>
          </c:dPt>
          <c:dPt>
            <c:idx val="20"/>
            <c:bubble3D val="0"/>
            <c:spPr>
              <a:solidFill>
                <a:schemeClr val="accent3">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9-9C30-BB48-813A-B4AAAEEE4CAC}"/>
              </c:ext>
            </c:extLst>
          </c:dPt>
          <c:dPt>
            <c:idx val="21"/>
            <c:bubble3D val="0"/>
            <c:spPr>
              <a:solidFill>
                <a:schemeClr val="accent4">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B-9C30-BB48-813A-B4AAAEEE4CAC}"/>
              </c:ext>
            </c:extLst>
          </c:dPt>
          <c:dPt>
            <c:idx val="22"/>
            <c:bubble3D val="0"/>
            <c:spPr>
              <a:solidFill>
                <a:schemeClr val="accent5">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D-5267-493B-A9D6-91AFC4D0B14E}"/>
              </c:ext>
            </c:extLst>
          </c:dPt>
          <c:dPt>
            <c:idx val="23"/>
            <c:bubble3D val="0"/>
            <c:spPr>
              <a:solidFill>
                <a:schemeClr val="accent6">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F-CE96-3D45-BA7B-F7D0BBA5375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'Hela gårdens lönsamhet'!$C$93:$C$116</c:f>
              <c:strCache>
                <c:ptCount val="24"/>
                <c:pt idx="0">
                  <c:v>Matpotatis</c:v>
                </c:pt>
                <c:pt idx="1">
                  <c:v>Morot</c:v>
                </c:pt>
                <c:pt idx="2">
                  <c:v>Kål</c:v>
                </c:pt>
                <c:pt idx="3">
                  <c:v>Lök</c:v>
                </c:pt>
                <c:pt idx="4">
                  <c:v>Sättlök</c:v>
                </c:pt>
                <c:pt idx="5">
                  <c:v>Trädgårsärt</c:v>
                </c:pt>
                <c:pt idx="6">
                  <c:v>Grönsak från frö 1</c:v>
                </c:pt>
                <c:pt idx="7">
                  <c:v>Grönsak från frö 2</c:v>
                </c:pt>
                <c:pt idx="8">
                  <c:v>Grönsak planterad 1</c:v>
                </c:pt>
                <c:pt idx="9">
                  <c:v>Grönsak planterad 2</c:v>
                </c:pt>
                <c:pt idx="10">
                  <c:v>Grönsak planterad 3</c:v>
                </c:pt>
                <c:pt idx="11">
                  <c:v>Jordgubbe friland</c:v>
                </c:pt>
                <c:pt idx="12">
                  <c:v>Jordgubbe tunnel</c:v>
                </c:pt>
                <c:pt idx="13">
                  <c:v>Hallon friland</c:v>
                </c:pt>
                <c:pt idx="14">
                  <c:v>Hallon tunnel</c:v>
                </c:pt>
                <c:pt idx="15">
                  <c:v>Svart vinbär</c:v>
                </c:pt>
                <c:pt idx="16">
                  <c:v>Buskblåbär</c:v>
                </c:pt>
                <c:pt idx="17">
                  <c:v>Äpple</c:v>
                </c:pt>
                <c:pt idx="18">
                  <c:v>Havre</c:v>
                </c:pt>
                <c:pt idx="19">
                  <c:v>Korn</c:v>
                </c:pt>
                <c:pt idx="20">
                  <c:v>Vete</c:v>
                </c:pt>
                <c:pt idx="21">
                  <c:v>Höstråg</c:v>
                </c:pt>
                <c:pt idx="22">
                  <c:v>Naturvårdsåker</c:v>
                </c:pt>
                <c:pt idx="23">
                  <c:v>Vall</c:v>
                </c:pt>
              </c:strCache>
            </c:strRef>
          </c:cat>
          <c:val>
            <c:numRef>
              <c:f>'Hela gårdens lönsamhet'!$J$93:$J$116</c:f>
              <c:numCache>
                <c:formatCode>#,##0</c:formatCode>
                <c:ptCount val="24"/>
                <c:pt idx="0">
                  <c:v>23272.5</c:v>
                </c:pt>
                <c:pt idx="1">
                  <c:v>39440</c:v>
                </c:pt>
                <c:pt idx="2">
                  <c:v>28420</c:v>
                </c:pt>
                <c:pt idx="3">
                  <c:v>6206</c:v>
                </c:pt>
                <c:pt idx="4">
                  <c:v>7395</c:v>
                </c:pt>
                <c:pt idx="5">
                  <c:v>2523</c:v>
                </c:pt>
                <c:pt idx="6">
                  <c:v>0</c:v>
                </c:pt>
                <c:pt idx="7">
                  <c:v>0</c:v>
                </c:pt>
                <c:pt idx="8">
                  <c:v>0</c:v>
                </c:pt>
                <c:pt idx="9">
                  <c:v>0</c:v>
                </c:pt>
                <c:pt idx="10">
                  <c:v>0</c:v>
                </c:pt>
                <c:pt idx="11">
                  <c:v>6597.5</c:v>
                </c:pt>
                <c:pt idx="12">
                  <c:v>0</c:v>
                </c:pt>
                <c:pt idx="13">
                  <c:v>0</c:v>
                </c:pt>
                <c:pt idx="14">
                  <c:v>0</c:v>
                </c:pt>
                <c:pt idx="15">
                  <c:v>0</c:v>
                </c:pt>
                <c:pt idx="16">
                  <c:v>0</c:v>
                </c:pt>
                <c:pt idx="17">
                  <c:v>13816.083333333334</c:v>
                </c:pt>
                <c:pt idx="18">
                  <c:v>0</c:v>
                </c:pt>
                <c:pt idx="19">
                  <c:v>0</c:v>
                </c:pt>
                <c:pt idx="20">
                  <c:v>0</c:v>
                </c:pt>
                <c:pt idx="21">
                  <c:v>0</c:v>
                </c:pt>
                <c:pt idx="22">
                  <c:v>0</c:v>
                </c:pt>
                <c:pt idx="23">
                  <c:v>0</c:v>
                </c:pt>
              </c:numCache>
            </c:numRef>
          </c:val>
          <c:extLst>
            <c:ext xmlns:c16="http://schemas.microsoft.com/office/drawing/2014/chart" uri="{C3380CC4-5D6E-409C-BE32-E72D297353CC}">
              <c16:uniqueId val="{00000000-1960-6443-BC9A-4F5CE72B2A5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fi-FI"/>
              <a:t>Företagarens</a:t>
            </a:r>
            <a:r>
              <a:rPr lang="fi-FI" baseline="0"/>
              <a:t> vinst</a:t>
            </a:r>
          </a:p>
        </c:rich>
      </c:tx>
      <c:layout>
        <c:manualLayout>
          <c:xMode val="edge"/>
          <c:yMode val="edge"/>
          <c:x val="0.33617224054406886"/>
          <c:y val="1.5759306987577448E-2"/>
        </c:manualLayout>
      </c:layout>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fi-FI"/>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'Hela gårdens lönsamhet'!$C$147:$C$170</c:f>
              <c:strCache>
                <c:ptCount val="24"/>
                <c:pt idx="0">
                  <c:v>Matpotatis</c:v>
                </c:pt>
                <c:pt idx="1">
                  <c:v>Morot</c:v>
                </c:pt>
                <c:pt idx="2">
                  <c:v>Kål</c:v>
                </c:pt>
                <c:pt idx="3">
                  <c:v>Lök</c:v>
                </c:pt>
                <c:pt idx="4">
                  <c:v>Sättlök</c:v>
                </c:pt>
                <c:pt idx="5">
                  <c:v>Trädgårdsärt</c:v>
                </c:pt>
                <c:pt idx="6">
                  <c:v>Grönsak från frö 1</c:v>
                </c:pt>
                <c:pt idx="7">
                  <c:v>Grönsak från frö 2</c:v>
                </c:pt>
                <c:pt idx="8">
                  <c:v>Grönsak planterad 1</c:v>
                </c:pt>
                <c:pt idx="9">
                  <c:v>Grönsak planterad 2</c:v>
                </c:pt>
                <c:pt idx="10">
                  <c:v>Grönsak planterad 3</c:v>
                </c:pt>
                <c:pt idx="11">
                  <c:v>Jordgubbe friland</c:v>
                </c:pt>
                <c:pt idx="12">
                  <c:v>Jordgubbe tunnel</c:v>
                </c:pt>
                <c:pt idx="13">
                  <c:v>Hallon friland</c:v>
                </c:pt>
                <c:pt idx="14">
                  <c:v>Hallon tunnel</c:v>
                </c:pt>
                <c:pt idx="15">
                  <c:v>Svart vinbär</c:v>
                </c:pt>
                <c:pt idx="16">
                  <c:v>Buskblåbär</c:v>
                </c:pt>
                <c:pt idx="17">
                  <c:v>Äpple</c:v>
                </c:pt>
                <c:pt idx="18">
                  <c:v>Havre</c:v>
                </c:pt>
                <c:pt idx="19">
                  <c:v>Korn</c:v>
                </c:pt>
                <c:pt idx="20">
                  <c:v>Vete</c:v>
                </c:pt>
                <c:pt idx="21">
                  <c:v>Höstråg</c:v>
                </c:pt>
                <c:pt idx="22">
                  <c:v>Naturvårdsåker</c:v>
                </c:pt>
                <c:pt idx="23">
                  <c:v>Vall</c:v>
                </c:pt>
              </c:strCache>
            </c:strRef>
          </c:cat>
          <c:val>
            <c:numRef>
              <c:f>'Hela gårdens lönsamhet'!$J$147:$J$170</c:f>
              <c:numCache>
                <c:formatCode>#,##0</c:formatCode>
                <c:ptCount val="24"/>
                <c:pt idx="0">
                  <c:v>-11509.954964539002</c:v>
                </c:pt>
                <c:pt idx="1">
                  <c:v>314884.82926969521</c:v>
                </c:pt>
                <c:pt idx="2">
                  <c:v>253286.66260302856</c:v>
                </c:pt>
                <c:pt idx="3">
                  <c:v>28405.198493578682</c:v>
                </c:pt>
                <c:pt idx="4">
                  <c:v>67380.88974889784</c:v>
                </c:pt>
                <c:pt idx="5">
                  <c:v>3151.969603445752</c:v>
                </c:pt>
                <c:pt idx="6">
                  <c:v>0</c:v>
                </c:pt>
                <c:pt idx="7">
                  <c:v>0</c:v>
                </c:pt>
                <c:pt idx="8">
                  <c:v>0</c:v>
                </c:pt>
                <c:pt idx="9">
                  <c:v>0</c:v>
                </c:pt>
                <c:pt idx="10">
                  <c:v>0</c:v>
                </c:pt>
                <c:pt idx="11">
                  <c:v>10342.319614241891</c:v>
                </c:pt>
                <c:pt idx="12">
                  <c:v>0</c:v>
                </c:pt>
                <c:pt idx="13">
                  <c:v>0</c:v>
                </c:pt>
                <c:pt idx="14">
                  <c:v>0</c:v>
                </c:pt>
                <c:pt idx="15">
                  <c:v>0</c:v>
                </c:pt>
                <c:pt idx="16">
                  <c:v>0</c:v>
                </c:pt>
                <c:pt idx="17">
                  <c:v>-114870.75348268027</c:v>
                </c:pt>
                <c:pt idx="18">
                  <c:v>0</c:v>
                </c:pt>
                <c:pt idx="19">
                  <c:v>0</c:v>
                </c:pt>
                <c:pt idx="20">
                  <c:v>0</c:v>
                </c:pt>
                <c:pt idx="21">
                  <c:v>0</c:v>
                </c:pt>
                <c:pt idx="22">
                  <c:v>0</c:v>
                </c:pt>
                <c:pt idx="23">
                  <c:v>0</c:v>
                </c:pt>
              </c:numCache>
            </c:numRef>
          </c:val>
          <c:extLst>
            <c:ext xmlns:c16="http://schemas.microsoft.com/office/drawing/2014/chart" uri="{C3380CC4-5D6E-409C-BE32-E72D297353CC}">
              <c16:uniqueId val="{00000000-95EB-3B43-9402-58ACE9F7CA72}"/>
            </c:ext>
          </c:extLst>
        </c:ser>
        <c:dLbls>
          <c:dLblPos val="inEnd"/>
          <c:showLegendKey val="0"/>
          <c:showVal val="1"/>
          <c:showCatName val="0"/>
          <c:showSerName val="0"/>
          <c:showPercent val="0"/>
          <c:showBubbleSize val="0"/>
        </c:dLbls>
        <c:gapWidth val="41"/>
        <c:axId val="845066527"/>
        <c:axId val="844911071"/>
      </c:barChart>
      <c:catAx>
        <c:axId val="84506652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fi-FI"/>
          </a:p>
        </c:txPr>
        <c:crossAx val="844911071"/>
        <c:crosses val="autoZero"/>
        <c:auto val="1"/>
        <c:lblAlgn val="ctr"/>
        <c:lblOffset val="100"/>
        <c:noMultiLvlLbl val="0"/>
      </c:catAx>
      <c:valAx>
        <c:axId val="844911071"/>
        <c:scaling>
          <c:orientation val="minMax"/>
        </c:scaling>
        <c:delete val="1"/>
        <c:axPos val="l"/>
        <c:numFmt formatCode="#,##0" sourceLinked="1"/>
        <c:majorTickMark val="none"/>
        <c:minorTickMark val="none"/>
        <c:tickLblPos val="nextTo"/>
        <c:crossAx val="8450665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Fördelning av försäljningsinkomsterna</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87A-6444-B0C8-7970992BC812}"/>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87A-6444-B0C8-7970992BC812}"/>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87A-6444-B0C8-7970992BC812}"/>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D87A-6444-B0C8-7970992BC812}"/>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D87A-6444-B0C8-7970992BC812}"/>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D87A-6444-B0C8-7970992BC812}"/>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D87A-6444-B0C8-7970992BC812}"/>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D87A-6444-B0C8-7970992BC812}"/>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D87A-6444-B0C8-7970992BC812}"/>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D87A-6444-B0C8-7970992BC812}"/>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D87A-6444-B0C8-7970992BC812}"/>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D87A-6444-B0C8-7970992BC812}"/>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D87A-6444-B0C8-7970992BC812}"/>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848A-7D4F-A51F-37E7214571D5}"/>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848A-7D4F-A51F-37E7214571D5}"/>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DA8A-3E4F-8BBC-043C9B5CEB11}"/>
              </c:ext>
            </c:extLst>
          </c:dPt>
          <c:dPt>
            <c:idx val="16"/>
            <c:bubble3D val="0"/>
            <c:spPr>
              <a:solidFill>
                <a:schemeClr val="accent5">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1-DA8A-3E4F-8BBC-043C9B5CEB11}"/>
              </c:ext>
            </c:extLst>
          </c:dPt>
          <c:dPt>
            <c:idx val="17"/>
            <c:bubble3D val="0"/>
            <c:spPr>
              <a:solidFill>
                <a:schemeClr val="accent6">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3-78D5-9E48-807B-CB3C859E46E4}"/>
              </c:ext>
            </c:extLst>
          </c:dPt>
          <c:dPt>
            <c:idx val="18"/>
            <c:bubble3D val="0"/>
            <c:spPr>
              <a:solidFill>
                <a:schemeClr val="accent1">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5-78D5-9E48-807B-CB3C859E46E4}"/>
              </c:ext>
            </c:extLst>
          </c:dPt>
          <c:dPt>
            <c:idx val="19"/>
            <c:bubble3D val="0"/>
            <c:spPr>
              <a:solidFill>
                <a:schemeClr val="accent2">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7-78D5-9E48-807B-CB3C859E46E4}"/>
              </c:ext>
            </c:extLst>
          </c:dPt>
          <c:dPt>
            <c:idx val="20"/>
            <c:bubble3D val="0"/>
            <c:spPr>
              <a:solidFill>
                <a:schemeClr val="accent3">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9-78D5-9E48-807B-CB3C859E46E4}"/>
              </c:ext>
            </c:extLst>
          </c:dPt>
          <c:dPt>
            <c:idx val="21"/>
            <c:bubble3D val="0"/>
            <c:spPr>
              <a:solidFill>
                <a:schemeClr val="accent4">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B-78D5-9E48-807B-CB3C859E46E4}"/>
              </c:ext>
            </c:extLst>
          </c:dPt>
          <c:dPt>
            <c:idx val="22"/>
            <c:bubble3D val="0"/>
            <c:spPr>
              <a:solidFill>
                <a:schemeClr val="accent5">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D-03D4-40EB-AB67-23B1B9593CCA}"/>
              </c:ext>
            </c:extLst>
          </c:dPt>
          <c:dPt>
            <c:idx val="23"/>
            <c:bubble3D val="0"/>
            <c:spPr>
              <a:solidFill>
                <a:schemeClr val="accent6">
                  <a:lumMod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F-2B24-F644-8C72-DAF0BE13FA0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'Hela gårdens lönsamhet'!$C$8:$C$31</c:f>
              <c:strCache>
                <c:ptCount val="24"/>
                <c:pt idx="0">
                  <c:v>Matpotatis</c:v>
                </c:pt>
                <c:pt idx="1">
                  <c:v>Morot</c:v>
                </c:pt>
                <c:pt idx="2">
                  <c:v>Kål</c:v>
                </c:pt>
                <c:pt idx="3">
                  <c:v>Lök</c:v>
                </c:pt>
                <c:pt idx="4">
                  <c:v>Sättlök</c:v>
                </c:pt>
                <c:pt idx="5">
                  <c:v>Trädgårdsärt</c:v>
                </c:pt>
                <c:pt idx="6">
                  <c:v>Grönsak från frö 1</c:v>
                </c:pt>
                <c:pt idx="7">
                  <c:v>Grönsak från frö 2</c:v>
                </c:pt>
                <c:pt idx="8">
                  <c:v>Grönsak planterad 1</c:v>
                </c:pt>
                <c:pt idx="9">
                  <c:v>Grönsak planterad 2</c:v>
                </c:pt>
                <c:pt idx="10">
                  <c:v>Grönsak planterad 3</c:v>
                </c:pt>
                <c:pt idx="11">
                  <c:v>Jordgubbe friland</c:v>
                </c:pt>
                <c:pt idx="12">
                  <c:v>Jordgubbe tunnel</c:v>
                </c:pt>
                <c:pt idx="13">
                  <c:v>Hallon friland</c:v>
                </c:pt>
                <c:pt idx="14">
                  <c:v>Hallon tunnel</c:v>
                </c:pt>
                <c:pt idx="15">
                  <c:v>Svart vinbär</c:v>
                </c:pt>
                <c:pt idx="16">
                  <c:v>Buskblåbär</c:v>
                </c:pt>
                <c:pt idx="17">
                  <c:v>Äpple</c:v>
                </c:pt>
                <c:pt idx="18">
                  <c:v>Havre</c:v>
                </c:pt>
                <c:pt idx="19">
                  <c:v>Korn</c:v>
                </c:pt>
                <c:pt idx="20">
                  <c:v>Vete</c:v>
                </c:pt>
                <c:pt idx="21">
                  <c:v>Höstråg</c:v>
                </c:pt>
                <c:pt idx="22">
                  <c:v>Naturvårdsåker</c:v>
                </c:pt>
                <c:pt idx="23">
                  <c:v>Vall</c:v>
                </c:pt>
              </c:strCache>
            </c:strRef>
          </c:cat>
          <c:val>
            <c:numRef>
              <c:f>'Hela gårdens lönsamhet'!$J$8:$J$31</c:f>
              <c:numCache>
                <c:formatCode>#,##0</c:formatCode>
                <c:ptCount val="24"/>
                <c:pt idx="0">
                  <c:v>65100</c:v>
                </c:pt>
                <c:pt idx="1">
                  <c:v>420000</c:v>
                </c:pt>
                <c:pt idx="2">
                  <c:v>370000</c:v>
                </c:pt>
                <c:pt idx="3">
                  <c:v>58400</c:v>
                </c:pt>
                <c:pt idx="4">
                  <c:v>127750</c:v>
                </c:pt>
                <c:pt idx="5">
                  <c:v>30400</c:v>
                </c:pt>
                <c:pt idx="6">
                  <c:v>0</c:v>
                </c:pt>
                <c:pt idx="7">
                  <c:v>0</c:v>
                </c:pt>
                <c:pt idx="8">
                  <c:v>0</c:v>
                </c:pt>
                <c:pt idx="9">
                  <c:v>0</c:v>
                </c:pt>
                <c:pt idx="10">
                  <c:v>0</c:v>
                </c:pt>
                <c:pt idx="11">
                  <c:v>65065.799999999996</c:v>
                </c:pt>
                <c:pt idx="12">
                  <c:v>0</c:v>
                </c:pt>
                <c:pt idx="13">
                  <c:v>0</c:v>
                </c:pt>
                <c:pt idx="14">
                  <c:v>0</c:v>
                </c:pt>
                <c:pt idx="15">
                  <c:v>0</c:v>
                </c:pt>
                <c:pt idx="16">
                  <c:v>0</c:v>
                </c:pt>
                <c:pt idx="17">
                  <c:v>116166.66666666666</c:v>
                </c:pt>
                <c:pt idx="18">
                  <c:v>0</c:v>
                </c:pt>
                <c:pt idx="19">
                  <c:v>0</c:v>
                </c:pt>
                <c:pt idx="20">
                  <c:v>0</c:v>
                </c:pt>
                <c:pt idx="21">
                  <c:v>0</c:v>
                </c:pt>
                <c:pt idx="22">
                  <c:v>0</c:v>
                </c:pt>
                <c:pt idx="23">
                  <c:v>0</c:v>
                </c:pt>
              </c:numCache>
            </c:numRef>
          </c:val>
          <c:extLst>
            <c:ext xmlns:c16="http://schemas.microsoft.com/office/drawing/2014/chart" uri="{C3380CC4-5D6E-409C-BE32-E72D297353CC}">
              <c16:uniqueId val="{00000000-9D1E-704C-BF04-B5D270AFA62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Potatis kostnadsfördelning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BF7-424E-9A69-E0579F3449BF}"/>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BF7-424E-9A69-E0579F3449BF}"/>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BF7-424E-9A69-E0579F3449BF}"/>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BF7-424E-9A69-E0579F3449BF}"/>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BF7-424E-9A69-E0579F3449BF}"/>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BF7-424E-9A69-E0579F3449BF}"/>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ABF7-424E-9A69-E0579F3449BF}"/>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ABF7-424E-9A69-E0579F3449BF}"/>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ABF7-424E-9A69-E0579F3449BF}"/>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ABF7-424E-9A69-E0579F3449BF}"/>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ABF7-424E-9A69-E0579F3449BF}"/>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ABF7-424E-9A69-E0579F3449BF}"/>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ABF7-424E-9A69-E0579F3449BF}"/>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ABF7-424E-9A69-E0579F3449BF}"/>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ABF7-424E-9A69-E0579F3449BF}"/>
              </c:ext>
            </c:extLst>
          </c:dPt>
          <c:dLbls>
            <c:dLbl>
              <c:idx val="5"/>
              <c:layout>
                <c:manualLayout>
                  <c:x val="-0.17661380584368025"/>
                  <c:y val="1.902535805071610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ABF7-424E-9A69-E0579F3449BF}"/>
                </c:ext>
              </c:extLst>
            </c:dLbl>
            <c:dLbl>
              <c:idx val="7"/>
              <c:layout>
                <c:manualLayout>
                  <c:x val="-0.14747737782064846"/>
                  <c:y val="-0.1627456754913509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ABF7-424E-9A69-E0579F3449BF}"/>
                </c:ext>
              </c:extLst>
            </c:dLbl>
            <c:dLbl>
              <c:idx val="8"/>
              <c:layout>
                <c:manualLayout>
                  <c:x val="-0.10782749248186936"/>
                  <c:y val="-0.1277831855663711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1-ABF7-424E-9A69-E0579F3449BF}"/>
                </c:ext>
              </c:extLst>
            </c:dLbl>
            <c:dLbl>
              <c:idx val="12"/>
              <c:layout>
                <c:manualLayout>
                  <c:x val="0.12618345594493449"/>
                  <c:y val="-4.165865831731670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9-ABF7-424E-9A69-E0579F3449BF}"/>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Matpotatis!$AB$25:$AB$39</c:f>
              <c:strCache>
                <c:ptCount val="15"/>
                <c:pt idx="0">
                  <c:v>Frö</c:v>
                </c:pt>
                <c:pt idx="1">
                  <c:v>Gödsel och kalk</c:v>
                </c:pt>
                <c:pt idx="2">
                  <c:v>IPM Växtskydd</c:v>
                </c:pt>
                <c:pt idx="3">
                  <c:v>Packningsmaterial</c:v>
                </c:pt>
                <c:pt idx="4">
                  <c:v>Fraktkostnader</c:v>
                </c:pt>
                <c:pt idx="5">
                  <c:v>Maskinkostnader och entreprenad</c:v>
                </c:pt>
                <c:pt idx="6">
                  <c:v>Energikostnader</c:v>
                </c:pt>
                <c:pt idx="7">
                  <c:v>Anställd arbetskraft</c:v>
                </c:pt>
                <c:pt idx="8">
                  <c:v>Allmänna kostnader</c:v>
                </c:pt>
                <c:pt idx="9">
                  <c:v>Hyrestkostnader åker</c:v>
                </c:pt>
                <c:pt idx="10">
                  <c:v>Byggnader</c:v>
                </c:pt>
                <c:pt idx="11">
                  <c:v>Maskiner och utrustning</c:v>
                </c:pt>
                <c:pt idx="12">
                  <c:v>Långvariga produktionsmedel</c:v>
                </c:pt>
                <c:pt idx="13">
                  <c:v>Täckdik</c:v>
                </c:pt>
                <c:pt idx="14">
                  <c:v>Lönekrav för eget arbete</c:v>
                </c:pt>
              </c:strCache>
            </c:strRef>
          </c:cat>
          <c:val>
            <c:numRef>
              <c:f>Matpotatis!$AC$25:$AC$39</c:f>
              <c:numCache>
                <c:formatCode>0</c:formatCode>
                <c:ptCount val="15"/>
                <c:pt idx="0">
                  <c:v>700</c:v>
                </c:pt>
                <c:pt idx="1">
                  <c:v>780.3</c:v>
                </c:pt>
                <c:pt idx="2">
                  <c:v>249.09</c:v>
                </c:pt>
                <c:pt idx="3">
                  <c:v>150</c:v>
                </c:pt>
                <c:pt idx="4">
                  <c:v>122</c:v>
                </c:pt>
                <c:pt idx="5">
                  <c:v>0</c:v>
                </c:pt>
                <c:pt idx="6">
                  <c:v>982.2</c:v>
                </c:pt>
                <c:pt idx="7">
                  <c:v>0</c:v>
                </c:pt>
                <c:pt idx="8" formatCode="0.00">
                  <c:v>238.2978723404255</c:v>
                </c:pt>
                <c:pt idx="9" formatCode="0.00">
                  <c:v>187.2340425531915</c:v>
                </c:pt>
                <c:pt idx="10" formatCode="#,##0.00">
                  <c:v>900.57234042553193</c:v>
                </c:pt>
                <c:pt idx="11" formatCode="#,##0.00">
                  <c:v>1247.2602836879432</c:v>
                </c:pt>
                <c:pt idx="12" formatCode="#,##0.00">
                  <c:v>223.125</c:v>
                </c:pt>
                <c:pt idx="13" formatCode="#,##0.00">
                  <c:v>12.76595744680851</c:v>
                </c:pt>
                <c:pt idx="14" formatCode="0.00">
                  <c:v>2327.25</c:v>
                </c:pt>
              </c:numCache>
            </c:numRef>
          </c:val>
          <c:extLst>
            <c:ext xmlns:c16="http://schemas.microsoft.com/office/drawing/2014/chart" uri="{C3380CC4-5D6E-409C-BE32-E72D297353CC}">
              <c16:uniqueId val="{00000000-B8D8-4400-9EAD-60A0A5D172E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Morot kostnadsfördelning</a:t>
            </a:r>
          </a:p>
        </c:rich>
      </c:tx>
      <c:layout>
        <c:manualLayout>
          <c:xMode val="edge"/>
          <c:yMode val="edge"/>
          <c:x val="0.30559936908517349"/>
          <c:y val="1.209398756046993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60B-9F4A-A586-4B497A60D5C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60B-9F4A-A586-4B497A60D5C4}"/>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60B-9F4A-A586-4B497A60D5C4}"/>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60B-9F4A-A586-4B497A60D5C4}"/>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60B-9F4A-A586-4B497A60D5C4}"/>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60B-9F4A-A586-4B497A60D5C4}"/>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60B-9F4A-A586-4B497A60D5C4}"/>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60B-9F4A-A586-4B497A60D5C4}"/>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960B-9F4A-A586-4B497A60D5C4}"/>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960B-9F4A-A586-4B497A60D5C4}"/>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960B-9F4A-A586-4B497A60D5C4}"/>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960B-9F4A-A586-4B497A60D5C4}"/>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960B-9F4A-A586-4B497A60D5C4}"/>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960B-9F4A-A586-4B497A60D5C4}"/>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Morot!$AB$26:$AB$39</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Morot!$AC$26:$AC$39</c:f>
              <c:numCache>
                <c:formatCode>0</c:formatCode>
                <c:ptCount val="14"/>
                <c:pt idx="0">
                  <c:v>1292</c:v>
                </c:pt>
                <c:pt idx="1">
                  <c:v>481</c:v>
                </c:pt>
                <c:pt idx="2">
                  <c:v>780</c:v>
                </c:pt>
                <c:pt idx="3">
                  <c:v>122</c:v>
                </c:pt>
                <c:pt idx="4">
                  <c:v>0</c:v>
                </c:pt>
                <c:pt idx="5">
                  <c:v>673.44</c:v>
                </c:pt>
                <c:pt idx="6">
                  <c:v>833.75</c:v>
                </c:pt>
                <c:pt idx="7" formatCode="0.00">
                  <c:v>238.2978723404255</c:v>
                </c:pt>
                <c:pt idx="8" formatCode="0.00">
                  <c:v>187.2340425531915</c:v>
                </c:pt>
                <c:pt idx="9" formatCode="#,##0.00">
                  <c:v>611.92639447958607</c:v>
                </c:pt>
                <c:pt idx="10" formatCode="#,##0.00">
                  <c:v>1566.0936170212767</c:v>
                </c:pt>
                <c:pt idx="11" formatCode="#,##0.00">
                  <c:v>96.109189189189181</c:v>
                </c:pt>
                <c:pt idx="12" formatCode="#,##0.00">
                  <c:v>12.76595744680851</c:v>
                </c:pt>
                <c:pt idx="13" formatCode="0.00">
                  <c:v>3944</c:v>
                </c:pt>
              </c:numCache>
            </c:numRef>
          </c:val>
          <c:extLst>
            <c:ext xmlns:c16="http://schemas.microsoft.com/office/drawing/2014/chart" uri="{C3380CC4-5D6E-409C-BE32-E72D297353CC}">
              <c16:uniqueId val="{00000000-AEE3-7441-B4A7-1764EA65C88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Kål</a:t>
            </a:r>
            <a:r>
              <a:rPr lang="fi-FI" baseline="0"/>
              <a:t> kostnadsfördelning</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CA87-E84D-9C92-0FB16DDA8EF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CA87-E84D-9C92-0FB16DDA8EF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CA87-E84D-9C92-0FB16DDA8EF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CA87-E84D-9C92-0FB16DDA8EF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CA87-E84D-9C92-0FB16DDA8EF5}"/>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CA87-E84D-9C92-0FB16DDA8EF5}"/>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CA87-E84D-9C92-0FB16DDA8EF5}"/>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CA87-E84D-9C92-0FB16DDA8EF5}"/>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CA87-E84D-9C92-0FB16DDA8EF5}"/>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CA87-E84D-9C92-0FB16DDA8EF5}"/>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CA87-E84D-9C92-0FB16DDA8EF5}"/>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CA87-E84D-9C92-0FB16DDA8EF5}"/>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CA87-E84D-9C92-0FB16DDA8EF5}"/>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CA87-E84D-9C92-0FB16DDA8EF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Kål!$AB$27:$AB$40</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Kål!$AC$27:$AC$40</c:f>
              <c:numCache>
                <c:formatCode>0</c:formatCode>
                <c:ptCount val="14"/>
                <c:pt idx="0">
                  <c:v>1720</c:v>
                </c:pt>
                <c:pt idx="1">
                  <c:v>800.1</c:v>
                </c:pt>
                <c:pt idx="2">
                  <c:v>833.33333333333337</c:v>
                </c:pt>
                <c:pt idx="3">
                  <c:v>900</c:v>
                </c:pt>
                <c:pt idx="4">
                  <c:v>0</c:v>
                </c:pt>
                <c:pt idx="5">
                  <c:v>1304.2399999999998</c:v>
                </c:pt>
                <c:pt idx="6">
                  <c:v>1102</c:v>
                </c:pt>
                <c:pt idx="7" formatCode="0.00">
                  <c:v>238.2978723404255</c:v>
                </c:pt>
                <c:pt idx="8" formatCode="0.00">
                  <c:v>187.2340425531915</c:v>
                </c:pt>
                <c:pt idx="9" formatCode="#,##0.00">
                  <c:v>611.92639447958607</c:v>
                </c:pt>
                <c:pt idx="10" formatCode="#,##0.00">
                  <c:v>700.42695035460997</c:v>
                </c:pt>
                <c:pt idx="11" formatCode="#,##0.00">
                  <c:v>96.109189189189209</c:v>
                </c:pt>
                <c:pt idx="12" formatCode="#,##0.00">
                  <c:v>12.76595744680851</c:v>
                </c:pt>
                <c:pt idx="13" formatCode="0.00">
                  <c:v>2842</c:v>
                </c:pt>
              </c:numCache>
            </c:numRef>
          </c:val>
          <c:extLst>
            <c:ext xmlns:c16="http://schemas.microsoft.com/office/drawing/2014/chart" uri="{C3380CC4-5D6E-409C-BE32-E72D297353CC}">
              <c16:uniqueId val="{00000000-C3C7-7641-BD87-84CAAD4BC06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a:t>
            </a:r>
            <a:r>
              <a:rPr lang="fi-FI" baseline="0"/>
              <a:t>fördelning</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453-6146-8D0D-680281C57E80}"/>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453-6146-8D0D-680281C57E80}"/>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453-6146-8D0D-680281C57E80}"/>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6453-6146-8D0D-680281C57E80}"/>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6453-6146-8D0D-680281C57E80}"/>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6453-6146-8D0D-680281C57E80}"/>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6453-6146-8D0D-680281C57E80}"/>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6453-6146-8D0D-680281C57E8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'Förkultivering av kål'!$T$6:$T$13</c:f>
              <c:strCache>
                <c:ptCount val="8"/>
                <c:pt idx="0">
                  <c:v>Frö</c:v>
                </c:pt>
                <c:pt idx="1">
                  <c:v>Substrat</c:v>
                </c:pt>
                <c:pt idx="2">
                  <c:v>Gödsel och kalk</c:v>
                </c:pt>
                <c:pt idx="3">
                  <c:v>IPM växtskydd</c:v>
                </c:pt>
                <c:pt idx="4">
                  <c:v>Energikostnader</c:v>
                </c:pt>
                <c:pt idx="5">
                  <c:v>Anställd arbetskraft</c:v>
                </c:pt>
                <c:pt idx="6">
                  <c:v>Fasta kostnader sammanlagt</c:v>
                </c:pt>
                <c:pt idx="7">
                  <c:v>Lönekrav för eget arbete</c:v>
                </c:pt>
              </c:strCache>
            </c:strRef>
          </c:cat>
          <c:val>
            <c:numRef>
              <c:f>'Förkultivering av kål'!$U$6:$U$13</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C28-AB45-8C16-5330786A574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Kål kostnadsfördelning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EBF4-2E4C-A62E-B01DC34E79D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EBF4-2E4C-A62E-B01DC34E79D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EBF4-2E4C-A62E-B01DC34E79D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EBF4-2E4C-A62E-B01DC34E79D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EBF4-2E4C-A62E-B01DC34E79D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EBF4-2E4C-A62E-B01DC34E79DE}"/>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EBF4-2E4C-A62E-B01DC34E79DE}"/>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EBF4-2E4C-A62E-B01DC34E79DE}"/>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EBF4-2E4C-A62E-B01DC34E79DE}"/>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EBF4-2E4C-A62E-B01DC34E79DE}"/>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EBF4-2E4C-A62E-B01DC34E79DE}"/>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EBF4-2E4C-A62E-B01DC34E79DE}"/>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EBF4-2E4C-A62E-B01DC34E79DE}"/>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EBF4-2E4C-A62E-B01DC34E79D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Kål!$AB$27:$AB$40</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Kål!$AC$27:$AC$40</c:f>
              <c:numCache>
                <c:formatCode>0</c:formatCode>
                <c:ptCount val="14"/>
                <c:pt idx="0">
                  <c:v>1720</c:v>
                </c:pt>
                <c:pt idx="1">
                  <c:v>800.1</c:v>
                </c:pt>
                <c:pt idx="2">
                  <c:v>833.33333333333337</c:v>
                </c:pt>
                <c:pt idx="3">
                  <c:v>900</c:v>
                </c:pt>
                <c:pt idx="4">
                  <c:v>0</c:v>
                </c:pt>
                <c:pt idx="5">
                  <c:v>1304.2399999999998</c:v>
                </c:pt>
                <c:pt idx="6">
                  <c:v>1102</c:v>
                </c:pt>
                <c:pt idx="7" formatCode="0.00">
                  <c:v>238.2978723404255</c:v>
                </c:pt>
                <c:pt idx="8" formatCode="0.00">
                  <c:v>187.2340425531915</c:v>
                </c:pt>
                <c:pt idx="9" formatCode="#,##0.00">
                  <c:v>611.92639447958607</c:v>
                </c:pt>
                <c:pt idx="10" formatCode="#,##0.00">
                  <c:v>700.42695035460997</c:v>
                </c:pt>
                <c:pt idx="11" formatCode="#,##0.00">
                  <c:v>96.109189189189209</c:v>
                </c:pt>
                <c:pt idx="12" formatCode="#,##0.00">
                  <c:v>12.76595744680851</c:v>
                </c:pt>
                <c:pt idx="13" formatCode="0.00">
                  <c:v>2842</c:v>
                </c:pt>
              </c:numCache>
            </c:numRef>
          </c:val>
          <c:extLst>
            <c:ext xmlns:c16="http://schemas.microsoft.com/office/drawing/2014/chart" uri="{C3380CC4-5D6E-409C-BE32-E72D297353CC}">
              <c16:uniqueId val="{0000001C-EBF4-2E4C-A62E-B01DC34E79D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Lök kostnadsfördelning </a:t>
            </a:r>
          </a:p>
        </c:rich>
      </c:tx>
      <c:layout>
        <c:manualLayout>
          <c:xMode val="edge"/>
          <c:yMode val="edge"/>
          <c:x val="0.33540900693701325"/>
          <c:y val="1.183431952662721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258-B04B-B2F8-2E8E6A1FA460}"/>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258-B04B-B2F8-2E8E6A1FA460}"/>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258-B04B-B2F8-2E8E6A1FA460}"/>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6258-B04B-B2F8-2E8E6A1FA460}"/>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6258-B04B-B2F8-2E8E6A1FA460}"/>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6258-B04B-B2F8-2E8E6A1FA460}"/>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6258-B04B-B2F8-2E8E6A1FA460}"/>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6258-B04B-B2F8-2E8E6A1FA460}"/>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6258-B04B-B2F8-2E8E6A1FA460}"/>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6258-B04B-B2F8-2E8E6A1FA460}"/>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6258-B04B-B2F8-2E8E6A1FA460}"/>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6258-B04B-B2F8-2E8E6A1FA460}"/>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6258-B04B-B2F8-2E8E6A1FA460}"/>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6258-B04B-B2F8-2E8E6A1FA46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Lök!$AB$26:$AB$39</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Hyreskostnader åker</c:v>
                </c:pt>
                <c:pt idx="9">
                  <c:v>Byggnader</c:v>
                </c:pt>
                <c:pt idx="10">
                  <c:v>Maskiner och utrustning</c:v>
                </c:pt>
                <c:pt idx="11">
                  <c:v>Långvariga produktionsmedel</c:v>
                </c:pt>
                <c:pt idx="12">
                  <c:v>Täckdiken</c:v>
                </c:pt>
                <c:pt idx="13">
                  <c:v>Lönekrav för eget arbete</c:v>
                </c:pt>
              </c:strCache>
            </c:strRef>
          </c:cat>
          <c:val>
            <c:numRef>
              <c:f>Lök!$AC$26:$AC$39</c:f>
              <c:numCache>
                <c:formatCode>0</c:formatCode>
                <c:ptCount val="14"/>
                <c:pt idx="0">
                  <c:v>1288</c:v>
                </c:pt>
                <c:pt idx="1">
                  <c:v>238.39349999999999</c:v>
                </c:pt>
                <c:pt idx="2">
                  <c:v>1200</c:v>
                </c:pt>
                <c:pt idx="3">
                  <c:v>1280</c:v>
                </c:pt>
                <c:pt idx="4">
                  <c:v>0</c:v>
                </c:pt>
                <c:pt idx="5">
                  <c:v>2639</c:v>
                </c:pt>
                <c:pt idx="6">
                  <c:v>435</c:v>
                </c:pt>
                <c:pt idx="7" formatCode="0.00">
                  <c:v>238.29787234042553</c:v>
                </c:pt>
                <c:pt idx="8" formatCode="0.00">
                  <c:v>187.2340425531915</c:v>
                </c:pt>
                <c:pt idx="9" formatCode="#,##0.00">
                  <c:v>2425.4399079930995</c:v>
                </c:pt>
                <c:pt idx="10" formatCode="#,##0.00">
                  <c:v>1451.2602836879432</c:v>
                </c:pt>
                <c:pt idx="11" formatCode="#,##0.00">
                  <c:v>96.109189189189195</c:v>
                </c:pt>
                <c:pt idx="12" formatCode="#,##0.00">
                  <c:v>12.76595744680851</c:v>
                </c:pt>
                <c:pt idx="13" formatCode="0.00">
                  <c:v>3103</c:v>
                </c:pt>
              </c:numCache>
            </c:numRef>
          </c:val>
          <c:extLst>
            <c:ext xmlns:c16="http://schemas.microsoft.com/office/drawing/2014/chart" uri="{C3380CC4-5D6E-409C-BE32-E72D297353CC}">
              <c16:uniqueId val="{00000000-E597-1142-BB7F-6246014F09EF}"/>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Lök kostnadsördelning</a:t>
            </a:r>
          </a:p>
        </c:rich>
      </c:tx>
      <c:layout>
        <c:manualLayout>
          <c:xMode val="edge"/>
          <c:yMode val="edge"/>
          <c:x val="0.33540900693701325"/>
          <c:y val="1.183431952662721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0A5-AA45-94AF-941DF646A95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0A5-AA45-94AF-941DF646A95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B0A5-AA45-94AF-941DF646A95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B0A5-AA45-94AF-941DF646A95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B0A5-AA45-94AF-941DF646A95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B0A5-AA45-94AF-941DF646A95E}"/>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B0A5-AA45-94AF-941DF646A95E}"/>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B0A5-AA45-94AF-941DF646A95E}"/>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B0A5-AA45-94AF-941DF646A95E}"/>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B0A5-AA45-94AF-941DF646A95E}"/>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B0A5-AA45-94AF-941DF646A95E}"/>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B0A5-AA45-94AF-941DF646A95E}"/>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B0A5-AA45-94AF-941DF646A95E}"/>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B0A5-AA45-94AF-941DF646A95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Lök!$AB$26:$AB$39</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Hyreskostnader åker</c:v>
                </c:pt>
                <c:pt idx="9">
                  <c:v>Byggnader</c:v>
                </c:pt>
                <c:pt idx="10">
                  <c:v>Maskiner och utrustning</c:v>
                </c:pt>
                <c:pt idx="11">
                  <c:v>Långvariga produktionsmedel</c:v>
                </c:pt>
                <c:pt idx="12">
                  <c:v>Täckdiken</c:v>
                </c:pt>
                <c:pt idx="13">
                  <c:v>Lönekrav för eget arbete</c:v>
                </c:pt>
              </c:strCache>
            </c:strRef>
          </c:cat>
          <c:val>
            <c:numRef>
              <c:f>Lök!$AC$26:$AC$39</c:f>
              <c:numCache>
                <c:formatCode>0</c:formatCode>
                <c:ptCount val="14"/>
                <c:pt idx="0">
                  <c:v>1288</c:v>
                </c:pt>
                <c:pt idx="1">
                  <c:v>238.39349999999999</c:v>
                </c:pt>
                <c:pt idx="2">
                  <c:v>1200</c:v>
                </c:pt>
                <c:pt idx="3">
                  <c:v>1280</c:v>
                </c:pt>
                <c:pt idx="4">
                  <c:v>0</c:v>
                </c:pt>
                <c:pt idx="5">
                  <c:v>2639</c:v>
                </c:pt>
                <c:pt idx="6">
                  <c:v>435</c:v>
                </c:pt>
                <c:pt idx="7" formatCode="0.00">
                  <c:v>238.29787234042553</c:v>
                </c:pt>
                <c:pt idx="8" formatCode="0.00">
                  <c:v>187.2340425531915</c:v>
                </c:pt>
                <c:pt idx="9" formatCode="#,##0.00">
                  <c:v>2425.4399079930995</c:v>
                </c:pt>
                <c:pt idx="10" formatCode="#,##0.00">
                  <c:v>1451.2602836879432</c:v>
                </c:pt>
                <c:pt idx="11" formatCode="#,##0.00">
                  <c:v>96.109189189189195</c:v>
                </c:pt>
                <c:pt idx="12" formatCode="#,##0.00">
                  <c:v>12.76595744680851</c:v>
                </c:pt>
                <c:pt idx="13" formatCode="0.00">
                  <c:v>3103</c:v>
                </c:pt>
              </c:numCache>
            </c:numRef>
          </c:val>
          <c:extLst>
            <c:ext xmlns:c16="http://schemas.microsoft.com/office/drawing/2014/chart" uri="{C3380CC4-5D6E-409C-BE32-E72D297353CC}">
              <c16:uniqueId val="{0000001C-B0A5-AA45-94AF-941DF646A95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Trädgårdsärt kostnadsfördelning</a:t>
            </a:r>
            <a:endParaRPr lang="fi-FI" baseline="0"/>
          </a:p>
          <a:p>
            <a:pPr>
              <a:defRPr/>
            </a:pP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50D-4D2C-A54B-6A6D49F8D26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50D-4D2C-A54B-6A6D49F8D26B}"/>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50D-4D2C-A54B-6A6D49F8D26B}"/>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50D-4D2C-A54B-6A6D49F8D26B}"/>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50D-4D2C-A54B-6A6D49F8D26B}"/>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50D-4D2C-A54B-6A6D49F8D26B}"/>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150D-4D2C-A54B-6A6D49F8D26B}"/>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150D-4D2C-A54B-6A6D49F8D26B}"/>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150D-4D2C-A54B-6A6D49F8D26B}"/>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150D-4D2C-A54B-6A6D49F8D26B}"/>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150D-4D2C-A54B-6A6D49F8D26B}"/>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150D-4D2C-A54B-6A6D49F8D26B}"/>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150D-4D2C-A54B-6A6D49F8D26B}"/>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150D-4D2C-A54B-6A6D49F8D26B}"/>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150D-4D2C-A54B-6A6D49F8D26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Trädgårdsärt!$AB$25:$AB$39</c:f>
              <c:strCache>
                <c:ptCount val="15"/>
                <c:pt idx="0">
                  <c:v>Siemenet</c:v>
                </c:pt>
                <c:pt idx="1">
                  <c:v>Gödsel och kalk</c:v>
                </c:pt>
                <c:pt idx="2">
                  <c:v>IPM Växtskydd</c:v>
                </c:pt>
                <c:pt idx="3">
                  <c:v>Packningsmaterial</c:v>
                </c:pt>
                <c:pt idx="4">
                  <c:v>Fraktkostnader</c:v>
                </c:pt>
                <c:pt idx="5">
                  <c:v>Maskinkostnader och entreprenad</c:v>
                </c:pt>
                <c:pt idx="6">
                  <c:v>Energikostnader</c:v>
                </c:pt>
                <c:pt idx="7">
                  <c:v>Anställd arbetskraft</c:v>
                </c:pt>
                <c:pt idx="8">
                  <c:v>ALMÄNNA KOSTNADER, ärtens andel</c:v>
                </c:pt>
                <c:pt idx="9">
                  <c:v>HYREKOSTNADER ÅKER, ärtens andel</c:v>
                </c:pt>
                <c:pt idx="10">
                  <c:v>BYGGNADER</c:v>
                </c:pt>
                <c:pt idx="11">
                  <c:v>MASKINER OCH UTRUSTNING</c:v>
                </c:pt>
                <c:pt idx="12">
                  <c:v>LÅNVARIGA PRODUKTIONSMEDEL</c:v>
                </c:pt>
                <c:pt idx="13">
                  <c:v>TÄCKDIKEN</c:v>
                </c:pt>
                <c:pt idx="14">
                  <c:v>Lönekrav för eget arbete</c:v>
                </c:pt>
              </c:strCache>
            </c:strRef>
          </c:cat>
          <c:val>
            <c:numRef>
              <c:f>Trädgårdsärt!$AC$25:$AC$39</c:f>
              <c:numCache>
                <c:formatCode>0</c:formatCode>
                <c:ptCount val="15"/>
                <c:pt idx="0">
                  <c:v>315</c:v>
                </c:pt>
                <c:pt idx="1">
                  <c:v>884</c:v>
                </c:pt>
                <c:pt idx="2">
                  <c:v>229.22</c:v>
                </c:pt>
                <c:pt idx="3">
                  <c:v>40</c:v>
                </c:pt>
                <c:pt idx="4">
                  <c:v>122</c:v>
                </c:pt>
                <c:pt idx="5">
                  <c:v>0</c:v>
                </c:pt>
                <c:pt idx="6">
                  <c:v>792.3599999999999</c:v>
                </c:pt>
                <c:pt idx="7">
                  <c:v>5800</c:v>
                </c:pt>
                <c:pt idx="8" formatCode="0.00">
                  <c:v>238.29787234042553</c:v>
                </c:pt>
                <c:pt idx="9" formatCode="0.00">
                  <c:v>187.2340425531915</c:v>
                </c:pt>
                <c:pt idx="10" formatCode="#,##0.00">
                  <c:v>3059.6319723979295</c:v>
                </c:pt>
                <c:pt idx="11" formatCode="#,##0.00">
                  <c:v>609.49557780559041</c:v>
                </c:pt>
                <c:pt idx="12" formatCode="#,##0.00">
                  <c:v>480.54594594594596</c:v>
                </c:pt>
                <c:pt idx="13" formatCode="#,##0.00">
                  <c:v>63.829787234042556</c:v>
                </c:pt>
                <c:pt idx="14" formatCode="0.00">
                  <c:v>1261.5</c:v>
                </c:pt>
              </c:numCache>
            </c:numRef>
          </c:val>
          <c:extLst>
            <c:ext xmlns:c16="http://schemas.microsoft.com/office/drawing/2014/chart" uri="{C3380CC4-5D6E-409C-BE32-E72D297353CC}">
              <c16:uniqueId val="{00000000-5A74-4C9E-BABB-3485524EF220}"/>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150D-4D2C-A54B-6A6D49F8D26B}"/>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1-150D-4D2C-A54B-6A6D49F8D26B}"/>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3-150D-4D2C-A54B-6A6D49F8D26B}"/>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5-150D-4D2C-A54B-6A6D49F8D26B}"/>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7-150D-4D2C-A54B-6A6D49F8D26B}"/>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9-150D-4D2C-A54B-6A6D49F8D26B}"/>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B-150D-4D2C-A54B-6A6D49F8D26B}"/>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D-150D-4D2C-A54B-6A6D49F8D26B}"/>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2F-150D-4D2C-A54B-6A6D49F8D26B}"/>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1-150D-4D2C-A54B-6A6D49F8D26B}"/>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3-150D-4D2C-A54B-6A6D49F8D26B}"/>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5-150D-4D2C-A54B-6A6D49F8D26B}"/>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7-150D-4D2C-A54B-6A6D49F8D26B}"/>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9-150D-4D2C-A54B-6A6D49F8D26B}"/>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3B-150D-4D2C-A54B-6A6D49F8D26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Trädgårdsärt!$AB$25:$AB$39</c:f>
              <c:strCache>
                <c:ptCount val="15"/>
                <c:pt idx="0">
                  <c:v>Siemenet</c:v>
                </c:pt>
                <c:pt idx="1">
                  <c:v>Gödsel och kalk</c:v>
                </c:pt>
                <c:pt idx="2">
                  <c:v>IPM Växtskydd</c:v>
                </c:pt>
                <c:pt idx="3">
                  <c:v>Packningsmaterial</c:v>
                </c:pt>
                <c:pt idx="4">
                  <c:v>Fraktkostnader</c:v>
                </c:pt>
                <c:pt idx="5">
                  <c:v>Maskinkostnader och entreprenad</c:v>
                </c:pt>
                <c:pt idx="6">
                  <c:v>Energikostnader</c:v>
                </c:pt>
                <c:pt idx="7">
                  <c:v>Anställd arbetskraft</c:v>
                </c:pt>
                <c:pt idx="8">
                  <c:v>ALMÄNNA KOSTNADER, ärtens andel</c:v>
                </c:pt>
                <c:pt idx="9">
                  <c:v>HYREKOSTNADER ÅKER, ärtens andel</c:v>
                </c:pt>
                <c:pt idx="10">
                  <c:v>BYGGNADER</c:v>
                </c:pt>
                <c:pt idx="11">
                  <c:v>MASKINER OCH UTRUSTNING</c:v>
                </c:pt>
                <c:pt idx="12">
                  <c:v>LÅNVARIGA PRODUKTIONSMEDEL</c:v>
                </c:pt>
                <c:pt idx="13">
                  <c:v>TÄCKDIKEN</c:v>
                </c:pt>
                <c:pt idx="14">
                  <c:v>Lönekrav för eget arbete</c:v>
                </c:pt>
              </c:strCache>
            </c:strRef>
          </c:cat>
          <c:val>
            <c:numRef>
              <c:f>Trädgårdsärt!$AD$25:$AD$39</c:f>
              <c:numCache>
                <c:formatCode>General</c:formatCode>
                <c:ptCount val="15"/>
              </c:numCache>
            </c:numRef>
          </c:val>
          <c:extLst>
            <c:ext xmlns:c16="http://schemas.microsoft.com/office/drawing/2014/chart" uri="{C3380CC4-5D6E-409C-BE32-E72D297353CC}">
              <c16:uniqueId val="{00000001-5A74-4C9E-BABB-3485524EF22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Grönsak</a:t>
            </a:r>
            <a:r>
              <a:rPr lang="fi-FI" baseline="0"/>
              <a:t> k</a:t>
            </a:r>
            <a:r>
              <a:rPr lang="fi-FI" sz="1800" b="1" i="0" u="none" strike="noStrike" kern="1200" baseline="0">
                <a:solidFill>
                  <a:sysClr val="windowText" lastClr="000000">
                    <a:lumMod val="75000"/>
                    <a:lumOff val="25000"/>
                  </a:sysClr>
                </a:solidFill>
              </a:rPr>
              <a:t>ostnadsfördelning</a:t>
            </a:r>
            <a:endParaRPr lang="fi-FI"/>
          </a:p>
        </c:rich>
      </c:tx>
      <c:layout>
        <c:manualLayout>
          <c:xMode val="edge"/>
          <c:yMode val="edge"/>
          <c:x val="0.30559936908517349"/>
          <c:y val="1.209398756046993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B4B-3C49-B157-50F203E79DF2}"/>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B4B-3C49-B157-50F203E79DF2}"/>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BB4B-3C49-B157-50F203E79DF2}"/>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BB4B-3C49-B157-50F203E79DF2}"/>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BB4B-3C49-B157-50F203E79DF2}"/>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BB4B-3C49-B157-50F203E79DF2}"/>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BB4B-3C49-B157-50F203E79DF2}"/>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BB4B-3C49-B157-50F203E79DF2}"/>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BB4B-3C49-B157-50F203E79DF2}"/>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BB4B-3C49-B157-50F203E79DF2}"/>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BB4B-3C49-B157-50F203E79DF2}"/>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BB4B-3C49-B157-50F203E79DF2}"/>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BB4B-3C49-B157-50F203E79DF2}"/>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BB4B-3C49-B157-50F203E79DF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Morot!$AB$26:$AB$39</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Morot!$AC$26:$AC$39</c:f>
              <c:numCache>
                <c:formatCode>0</c:formatCode>
                <c:ptCount val="14"/>
                <c:pt idx="0">
                  <c:v>1292</c:v>
                </c:pt>
                <c:pt idx="1">
                  <c:v>481</c:v>
                </c:pt>
                <c:pt idx="2">
                  <c:v>780</c:v>
                </c:pt>
                <c:pt idx="3">
                  <c:v>122</c:v>
                </c:pt>
                <c:pt idx="4">
                  <c:v>0</c:v>
                </c:pt>
                <c:pt idx="5">
                  <c:v>673.44</c:v>
                </c:pt>
                <c:pt idx="6">
                  <c:v>833.75</c:v>
                </c:pt>
                <c:pt idx="7" formatCode="0.00">
                  <c:v>238.2978723404255</c:v>
                </c:pt>
                <c:pt idx="8" formatCode="0.00">
                  <c:v>187.2340425531915</c:v>
                </c:pt>
                <c:pt idx="9" formatCode="#,##0.00">
                  <c:v>611.92639447958607</c:v>
                </c:pt>
                <c:pt idx="10" formatCode="#,##0.00">
                  <c:v>1566.0936170212767</c:v>
                </c:pt>
                <c:pt idx="11" formatCode="#,##0.00">
                  <c:v>96.109189189189181</c:v>
                </c:pt>
                <c:pt idx="12" formatCode="#,##0.00">
                  <c:v>12.76595744680851</c:v>
                </c:pt>
                <c:pt idx="13" formatCode="0.00">
                  <c:v>3944</c:v>
                </c:pt>
              </c:numCache>
            </c:numRef>
          </c:val>
          <c:extLst>
            <c:ext xmlns:c16="http://schemas.microsoft.com/office/drawing/2014/chart" uri="{C3380CC4-5D6E-409C-BE32-E72D297353CC}">
              <c16:uniqueId val="{0000001C-BB4B-3C49-B157-50F203E79DF2}"/>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b="1" i="0" u="none" strike="noStrike" kern="1200" baseline="0">
                <a:solidFill>
                  <a:sysClr val="windowText" lastClr="000000">
                    <a:lumMod val="75000"/>
                    <a:lumOff val="25000"/>
                  </a:sysClr>
                </a:solidFill>
              </a:rPr>
              <a:t>Grönsak kostnadsfördelning</a:t>
            </a:r>
          </a:p>
        </c:rich>
      </c:tx>
      <c:layout>
        <c:manualLayout>
          <c:xMode val="edge"/>
          <c:yMode val="edge"/>
          <c:x val="0.30559936908517349"/>
          <c:y val="1.209398756046993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2A84-4743-BB7B-6E800A1A0E1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A84-4743-BB7B-6E800A1A0E1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2A84-4743-BB7B-6E800A1A0E1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2A84-4743-BB7B-6E800A1A0E18}"/>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2A84-4743-BB7B-6E800A1A0E18}"/>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2A84-4743-BB7B-6E800A1A0E18}"/>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2A84-4743-BB7B-6E800A1A0E18}"/>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2A84-4743-BB7B-6E800A1A0E18}"/>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2A84-4743-BB7B-6E800A1A0E18}"/>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2A84-4743-BB7B-6E800A1A0E18}"/>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2A84-4743-BB7B-6E800A1A0E18}"/>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2A84-4743-BB7B-6E800A1A0E18}"/>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2A84-4743-BB7B-6E800A1A0E18}"/>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2A84-4743-BB7B-6E800A1A0E1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Morot!$AB$26:$AB$39</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Morot!$AC$26:$AC$39</c:f>
              <c:numCache>
                <c:formatCode>0</c:formatCode>
                <c:ptCount val="14"/>
                <c:pt idx="0">
                  <c:v>1292</c:v>
                </c:pt>
                <c:pt idx="1">
                  <c:v>481</c:v>
                </c:pt>
                <c:pt idx="2">
                  <c:v>780</c:v>
                </c:pt>
                <c:pt idx="3">
                  <c:v>122</c:v>
                </c:pt>
                <c:pt idx="4">
                  <c:v>0</c:v>
                </c:pt>
                <c:pt idx="5">
                  <c:v>673.44</c:v>
                </c:pt>
                <c:pt idx="6">
                  <c:v>833.75</c:v>
                </c:pt>
                <c:pt idx="7" formatCode="0.00">
                  <c:v>238.2978723404255</c:v>
                </c:pt>
                <c:pt idx="8" formatCode="0.00">
                  <c:v>187.2340425531915</c:v>
                </c:pt>
                <c:pt idx="9" formatCode="#,##0.00">
                  <c:v>611.92639447958607</c:v>
                </c:pt>
                <c:pt idx="10" formatCode="#,##0.00">
                  <c:v>1566.0936170212767</c:v>
                </c:pt>
                <c:pt idx="11" formatCode="#,##0.00">
                  <c:v>96.109189189189181</c:v>
                </c:pt>
                <c:pt idx="12" formatCode="#,##0.00">
                  <c:v>12.76595744680851</c:v>
                </c:pt>
                <c:pt idx="13" formatCode="0.00">
                  <c:v>3944</c:v>
                </c:pt>
              </c:numCache>
            </c:numRef>
          </c:val>
          <c:extLst>
            <c:ext xmlns:c16="http://schemas.microsoft.com/office/drawing/2014/chart" uri="{C3380CC4-5D6E-409C-BE32-E72D297353CC}">
              <c16:uniqueId val="{0000001C-2A84-4743-BB7B-6E800A1A0E1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b="1" i="0" u="none" strike="noStrike" kern="1200" baseline="0">
                <a:solidFill>
                  <a:sysClr val="windowText" lastClr="000000">
                    <a:lumMod val="75000"/>
                    <a:lumOff val="25000"/>
                  </a:sysClr>
                </a:solidFill>
              </a:rPr>
              <a:t>Grönsak kostnadsfördelning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E44-8D4A-AC61-4ABF24620D5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E44-8D4A-AC61-4ABF24620D5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E44-8D4A-AC61-4ABF24620D57}"/>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DE44-8D4A-AC61-4ABF24620D57}"/>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DE44-8D4A-AC61-4ABF24620D57}"/>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DE44-8D4A-AC61-4ABF24620D57}"/>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DE44-8D4A-AC61-4ABF24620D57}"/>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DE44-8D4A-AC61-4ABF24620D57}"/>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DE44-8D4A-AC61-4ABF24620D57}"/>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DE44-8D4A-AC61-4ABF24620D57}"/>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DE44-8D4A-AC61-4ABF24620D57}"/>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DE44-8D4A-AC61-4ABF24620D57}"/>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DE44-8D4A-AC61-4ABF24620D57}"/>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DE44-8D4A-AC61-4ABF24620D5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Kål!$AB$27:$AB$40</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Kål!$AC$27:$AC$40</c:f>
              <c:numCache>
                <c:formatCode>0</c:formatCode>
                <c:ptCount val="14"/>
                <c:pt idx="0">
                  <c:v>1720</c:v>
                </c:pt>
                <c:pt idx="1">
                  <c:v>800.1</c:v>
                </c:pt>
                <c:pt idx="2">
                  <c:v>833.33333333333337</c:v>
                </c:pt>
                <c:pt idx="3">
                  <c:v>900</c:v>
                </c:pt>
                <c:pt idx="4">
                  <c:v>0</c:v>
                </c:pt>
                <c:pt idx="5">
                  <c:v>1304.2399999999998</c:v>
                </c:pt>
                <c:pt idx="6">
                  <c:v>1102</c:v>
                </c:pt>
                <c:pt idx="7" formatCode="0.00">
                  <c:v>238.2978723404255</c:v>
                </c:pt>
                <c:pt idx="8" formatCode="0.00">
                  <c:v>187.2340425531915</c:v>
                </c:pt>
                <c:pt idx="9" formatCode="#,##0.00">
                  <c:v>611.92639447958607</c:v>
                </c:pt>
                <c:pt idx="10" formatCode="#,##0.00">
                  <c:v>700.42695035460997</c:v>
                </c:pt>
                <c:pt idx="11" formatCode="#,##0.00">
                  <c:v>96.109189189189209</c:v>
                </c:pt>
                <c:pt idx="12" formatCode="#,##0.00">
                  <c:v>12.76595744680851</c:v>
                </c:pt>
                <c:pt idx="13" formatCode="0.00">
                  <c:v>2842</c:v>
                </c:pt>
              </c:numCache>
            </c:numRef>
          </c:val>
          <c:extLst>
            <c:ext xmlns:c16="http://schemas.microsoft.com/office/drawing/2014/chart" uri="{C3380CC4-5D6E-409C-BE32-E72D297353CC}">
              <c16:uniqueId val="{0000001C-DE44-8D4A-AC61-4ABF24620D5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b="1" i="0" u="none" strike="noStrike" kern="1200" baseline="0">
                <a:solidFill>
                  <a:sysClr val="windowText" lastClr="000000">
                    <a:lumMod val="75000"/>
                    <a:lumOff val="25000"/>
                  </a:sysClr>
                </a:solidFill>
              </a:rPr>
              <a:t>Grönsak kostnadsfördelning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365-3B44-BC22-0236D1179A5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365-3B44-BC22-0236D1179A5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365-3B44-BC22-0236D1179A5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365-3B44-BC22-0236D1179A58}"/>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F365-3B44-BC22-0236D1179A58}"/>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F365-3B44-BC22-0236D1179A58}"/>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F365-3B44-BC22-0236D1179A58}"/>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F365-3B44-BC22-0236D1179A58}"/>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F365-3B44-BC22-0236D1179A58}"/>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F365-3B44-BC22-0236D1179A58}"/>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F365-3B44-BC22-0236D1179A58}"/>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F365-3B44-BC22-0236D1179A58}"/>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F365-3B44-BC22-0236D1179A58}"/>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F365-3B44-BC22-0236D1179A5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Kål!$AB$27:$AB$40</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Kål!$AC$27:$AC$40</c:f>
              <c:numCache>
                <c:formatCode>0</c:formatCode>
                <c:ptCount val="14"/>
                <c:pt idx="0">
                  <c:v>1720</c:v>
                </c:pt>
                <c:pt idx="1">
                  <c:v>800.1</c:v>
                </c:pt>
                <c:pt idx="2">
                  <c:v>833.33333333333337</c:v>
                </c:pt>
                <c:pt idx="3">
                  <c:v>900</c:v>
                </c:pt>
                <c:pt idx="4">
                  <c:v>0</c:v>
                </c:pt>
                <c:pt idx="5">
                  <c:v>1304.2399999999998</c:v>
                </c:pt>
                <c:pt idx="6">
                  <c:v>1102</c:v>
                </c:pt>
                <c:pt idx="7" formatCode="0.00">
                  <c:v>238.2978723404255</c:v>
                </c:pt>
                <c:pt idx="8" formatCode="0.00">
                  <c:v>187.2340425531915</c:v>
                </c:pt>
                <c:pt idx="9" formatCode="#,##0.00">
                  <c:v>611.92639447958607</c:v>
                </c:pt>
                <c:pt idx="10" formatCode="#,##0.00">
                  <c:v>700.42695035460997</c:v>
                </c:pt>
                <c:pt idx="11" formatCode="#,##0.00">
                  <c:v>96.109189189189209</c:v>
                </c:pt>
                <c:pt idx="12" formatCode="#,##0.00">
                  <c:v>12.76595744680851</c:v>
                </c:pt>
                <c:pt idx="13" formatCode="0.00">
                  <c:v>2842</c:v>
                </c:pt>
              </c:numCache>
            </c:numRef>
          </c:val>
          <c:extLst>
            <c:ext xmlns:c16="http://schemas.microsoft.com/office/drawing/2014/chart" uri="{C3380CC4-5D6E-409C-BE32-E72D297353CC}">
              <c16:uniqueId val="{0000001C-F365-3B44-BC22-0236D1179A5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b="1" i="0" u="none" strike="noStrike" kern="1200" baseline="0">
                <a:solidFill>
                  <a:sysClr val="windowText" lastClr="000000">
                    <a:lumMod val="75000"/>
                    <a:lumOff val="25000"/>
                  </a:sysClr>
                </a:solidFill>
              </a:rPr>
              <a:t>Grönsak kostnadsfördelning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2EA-4F42-815B-89EC38705A75}"/>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2EA-4F42-815B-89EC38705A75}"/>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2EA-4F42-815B-89EC38705A75}"/>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2EA-4F42-815B-89EC38705A75}"/>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2EA-4F42-815B-89EC38705A75}"/>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2EA-4F42-815B-89EC38705A75}"/>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2EA-4F42-815B-89EC38705A75}"/>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2EA-4F42-815B-89EC38705A75}"/>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92EA-4F42-815B-89EC38705A75}"/>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92EA-4F42-815B-89EC38705A75}"/>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92EA-4F42-815B-89EC38705A75}"/>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92EA-4F42-815B-89EC38705A75}"/>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92EA-4F42-815B-89EC38705A75}"/>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92EA-4F42-815B-89EC38705A7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Kål!$AB$27:$AB$40</c:f>
              <c:strCache>
                <c:ptCount val="14"/>
                <c:pt idx="0">
                  <c:v>Gödsel och kalk</c:v>
                </c:pt>
                <c:pt idx="1">
                  <c:v>IPM Växtskydd</c:v>
                </c:pt>
                <c:pt idx="2">
                  <c:v>Packningsmaterial</c:v>
                </c:pt>
                <c:pt idx="3">
                  <c:v>Fraktkostnader</c:v>
                </c:pt>
                <c:pt idx="4">
                  <c:v>Maskinkostnader och entreprenad</c:v>
                </c:pt>
                <c:pt idx="5">
                  <c:v>Energikostnader</c:v>
                </c:pt>
                <c:pt idx="6">
                  <c:v>Anställd arbetskraft</c:v>
                </c:pt>
                <c:pt idx="7">
                  <c:v>Allmänna kostnader</c:v>
                </c:pt>
                <c:pt idx="8">
                  <c:v>Hyrestkostnader åker</c:v>
                </c:pt>
                <c:pt idx="9">
                  <c:v>Byggnader</c:v>
                </c:pt>
                <c:pt idx="10">
                  <c:v>Maskiner och utrustning</c:v>
                </c:pt>
                <c:pt idx="11">
                  <c:v>Långvariga produktionsmedel</c:v>
                </c:pt>
                <c:pt idx="12">
                  <c:v>Täckdik</c:v>
                </c:pt>
                <c:pt idx="13">
                  <c:v>Lönekrav för eget arbete</c:v>
                </c:pt>
              </c:strCache>
            </c:strRef>
          </c:cat>
          <c:val>
            <c:numRef>
              <c:f>Kål!$AC$27:$AC$40</c:f>
              <c:numCache>
                <c:formatCode>0</c:formatCode>
                <c:ptCount val="14"/>
                <c:pt idx="0">
                  <c:v>1720</c:v>
                </c:pt>
                <c:pt idx="1">
                  <c:v>800.1</c:v>
                </c:pt>
                <c:pt idx="2">
                  <c:v>833.33333333333337</c:v>
                </c:pt>
                <c:pt idx="3">
                  <c:v>900</c:v>
                </c:pt>
                <c:pt idx="4">
                  <c:v>0</c:v>
                </c:pt>
                <c:pt idx="5">
                  <c:v>1304.2399999999998</c:v>
                </c:pt>
                <c:pt idx="6">
                  <c:v>1102</c:v>
                </c:pt>
                <c:pt idx="7" formatCode="0.00">
                  <c:v>238.2978723404255</c:v>
                </c:pt>
                <c:pt idx="8" formatCode="0.00">
                  <c:v>187.2340425531915</c:v>
                </c:pt>
                <c:pt idx="9" formatCode="#,##0.00">
                  <c:v>611.92639447958607</c:v>
                </c:pt>
                <c:pt idx="10" formatCode="#,##0.00">
                  <c:v>700.42695035460997</c:v>
                </c:pt>
                <c:pt idx="11" formatCode="#,##0.00">
                  <c:v>96.109189189189209</c:v>
                </c:pt>
                <c:pt idx="12" formatCode="#,##0.00">
                  <c:v>12.76595744680851</c:v>
                </c:pt>
                <c:pt idx="13" formatCode="0.00">
                  <c:v>2842</c:v>
                </c:pt>
              </c:numCache>
            </c:numRef>
          </c:val>
          <c:extLst>
            <c:ext xmlns:c16="http://schemas.microsoft.com/office/drawing/2014/chart" uri="{C3380CC4-5D6E-409C-BE32-E72D297353CC}">
              <c16:uniqueId val="{0000001C-92EA-4F42-815B-89EC38705A7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sz="1800" b="1" i="0" u="none" strike="noStrike" baseline="0">
                <a:effectLst/>
              </a:rPr>
              <a:t>Kostnadsfördelning för hela odlingsperioden</a:t>
            </a:r>
            <a:endParaRPr lang="fi-FI"/>
          </a:p>
        </c:rich>
      </c:tx>
      <c:layout>
        <c:manualLayout>
          <c:xMode val="edge"/>
          <c:yMode val="edge"/>
          <c:x val="0.21239321957029692"/>
          <c:y val="1.062715064985537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899-CE41-856F-5722813CC5F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899-CE41-856F-5722813CC5F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899-CE41-856F-5722813CC5FC}"/>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3899-CE41-856F-5722813CC5FC}"/>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3899-CE41-856F-5722813CC5FC}"/>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3899-CE41-856F-5722813CC5FC}"/>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3899-CE41-856F-5722813CC5FC}"/>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3899-CE41-856F-5722813CC5FC}"/>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3899-CE41-856F-5722813CC5FC}"/>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3899-CE41-856F-5722813CC5FC}"/>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3899-CE41-856F-5722813CC5FC}"/>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3899-CE41-856F-5722813CC5FC}"/>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3899-CE41-856F-5722813CC5FC}"/>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3899-CE41-856F-5722813CC5FC}"/>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9DE3-F148-9C6A-89352668F340}"/>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58BA-F845-881D-8F762528376F}"/>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'Jordgubbe friland'!$AB$24:$AB$39</c:f>
              <c:strCache>
                <c:ptCount val="16"/>
                <c:pt idx="0">
                  <c:v>Plantor och frö</c:v>
                </c:pt>
                <c:pt idx="1">
                  <c:v>Gödsel och kalk</c:v>
                </c:pt>
                <c:pt idx="2">
                  <c:v>IPM Växtskydd</c:v>
                </c:pt>
                <c:pt idx="3">
                  <c:v>Pollinering</c:v>
                </c:pt>
                <c:pt idx="4">
                  <c:v>Förpackningsmaterial</c:v>
                </c:pt>
                <c:pt idx="5">
                  <c:v>Frakt av produkter</c:v>
                </c:pt>
                <c:pt idx="6">
                  <c:v>Maskinhyra och entreprenad</c:v>
                </c:pt>
                <c:pt idx="7">
                  <c:v>Energikostnader</c:v>
                </c:pt>
                <c:pt idx="8">
                  <c:v>Anställd personal</c:v>
                </c:pt>
                <c:pt idx="9">
                  <c:v>Almänna kostnader</c:v>
                </c:pt>
                <c:pt idx="10">
                  <c:v>Hyreskostnader åker</c:v>
                </c:pt>
                <c:pt idx="11">
                  <c:v>Byggnader</c:v>
                </c:pt>
                <c:pt idx="12">
                  <c:v>Maskiner och utrustning</c:v>
                </c:pt>
                <c:pt idx="13">
                  <c:v>Långvariga produktionsmedel</c:v>
                </c:pt>
                <c:pt idx="14">
                  <c:v>Täckdiken</c:v>
                </c:pt>
                <c:pt idx="15">
                  <c:v>Lönekrav för eget arbete</c:v>
                </c:pt>
              </c:strCache>
            </c:strRef>
          </c:cat>
          <c:val>
            <c:numRef>
              <c:f>'Jordgubbe friland'!$AC$24:$AC$39</c:f>
              <c:numCache>
                <c:formatCode>#,##0</c:formatCode>
                <c:ptCount val="16"/>
                <c:pt idx="0">
                  <c:v>2083.3333333333335</c:v>
                </c:pt>
                <c:pt idx="1">
                  <c:v>600</c:v>
                </c:pt>
                <c:pt idx="2">
                  <c:v>1245.8</c:v>
                </c:pt>
                <c:pt idx="3">
                  <c:v>800</c:v>
                </c:pt>
                <c:pt idx="4">
                  <c:v>513.4</c:v>
                </c:pt>
                <c:pt idx="5">
                  <c:v>1530</c:v>
                </c:pt>
                <c:pt idx="6">
                  <c:v>48.666666666666664</c:v>
                </c:pt>
                <c:pt idx="7">
                  <c:v>1729.4613333333332</c:v>
                </c:pt>
                <c:pt idx="8">
                  <c:v>5838.333333333333</c:v>
                </c:pt>
                <c:pt idx="9" formatCode="0.00">
                  <c:v>238.29787234042553</c:v>
                </c:pt>
                <c:pt idx="10" formatCode="0.00">
                  <c:v>187.23404255319147</c:v>
                </c:pt>
                <c:pt idx="11" formatCode="#,##0.00">
                  <c:v>611.92639447958607</c:v>
                </c:pt>
                <c:pt idx="12" formatCode="#,##0.00">
                  <c:v>473.41617257683214</c:v>
                </c:pt>
                <c:pt idx="13" formatCode="#,##0.00">
                  <c:v>1156.4583558558556</c:v>
                </c:pt>
                <c:pt idx="14" formatCode="#,##0.00">
                  <c:v>12.765957446808509</c:v>
                </c:pt>
                <c:pt idx="15" formatCode="0.00">
                  <c:v>2199.1666666666665</c:v>
                </c:pt>
              </c:numCache>
            </c:numRef>
          </c:val>
          <c:extLst>
            <c:ext xmlns:c16="http://schemas.microsoft.com/office/drawing/2014/chart" uri="{C3380CC4-5D6E-409C-BE32-E72D297353CC}">
              <c16:uniqueId val="{00000000-0491-3E47-8013-D1F0FDD1FD3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Skördeårens</a:t>
            </a:r>
            <a:r>
              <a:rPr lang="fi-FI" baseline="0"/>
              <a:t> kostnadsfördelning </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74E-B644-9A3D-283CC47C07D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74E-B644-9A3D-283CC47C07D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74E-B644-9A3D-283CC47C07D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674E-B644-9A3D-283CC47C07D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674E-B644-9A3D-283CC47C07D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674E-B644-9A3D-283CC47C07DE}"/>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674E-B644-9A3D-283CC47C07DE}"/>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674E-B644-9A3D-283CC47C07DE}"/>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674E-B644-9A3D-283CC47C07DE}"/>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674E-B644-9A3D-283CC47C07DE}"/>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674E-B644-9A3D-283CC47C07DE}"/>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674E-B644-9A3D-283CC47C07DE}"/>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674E-B644-9A3D-283CC47C07DE}"/>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674E-B644-9A3D-283CC47C07DE}"/>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BB8C-6D4B-975D-1871283C13D6}"/>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A3A6-5243-B0F7-593414C0199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'Jordgubbe tunnel'!$AB$25:$AB$40</c:f>
              <c:strCache>
                <c:ptCount val="16"/>
                <c:pt idx="0">
                  <c:v>Plantor</c:v>
                </c:pt>
                <c:pt idx="1">
                  <c:v>Gödsel och substrat</c:v>
                </c:pt>
                <c:pt idx="2">
                  <c:v>IPM Växtskydd</c:v>
                </c:pt>
                <c:pt idx="3">
                  <c:v>Pölytys</c:v>
                </c:pt>
                <c:pt idx="4">
                  <c:v>Förpackningsmaterial</c:v>
                </c:pt>
                <c:pt idx="5">
                  <c:v>Frakt av produkter</c:v>
                </c:pt>
                <c:pt idx="6">
                  <c:v>Maskinhyra och entreprenad</c:v>
                </c:pt>
                <c:pt idx="7">
                  <c:v>Energikostnader</c:v>
                </c:pt>
                <c:pt idx="8">
                  <c:v>Anställd personal</c:v>
                </c:pt>
                <c:pt idx="9">
                  <c:v>Almänna kostnader</c:v>
                </c:pt>
                <c:pt idx="10">
                  <c:v>Hyreskostnader åker</c:v>
                </c:pt>
                <c:pt idx="11">
                  <c:v>Byggnader</c:v>
                </c:pt>
                <c:pt idx="12">
                  <c:v>Maskiner och utrustning</c:v>
                </c:pt>
                <c:pt idx="13">
                  <c:v>Långvariga produktionsmedel</c:v>
                </c:pt>
                <c:pt idx="14">
                  <c:v>Täckdiken</c:v>
                </c:pt>
                <c:pt idx="15">
                  <c:v>Lönekrav för eget arbete</c:v>
                </c:pt>
              </c:strCache>
            </c:strRef>
          </c:cat>
          <c:val>
            <c:numRef>
              <c:f>'Jordgubbe tunnel'!$AC$25:$AC$40</c:f>
              <c:numCache>
                <c:formatCode>0.00</c:formatCode>
                <c:ptCount val="16"/>
                <c:pt idx="0" formatCode="#,##0">
                  <c:v>0</c:v>
                </c:pt>
                <c:pt idx="1">
                  <c:v>0</c:v>
                </c:pt>
                <c:pt idx="2">
                  <c:v>0</c:v>
                </c:pt>
                <c:pt idx="3">
                  <c:v>0</c:v>
                </c:pt>
                <c:pt idx="4">
                  <c:v>0</c:v>
                </c:pt>
                <c:pt idx="5">
                  <c:v>0</c:v>
                </c:pt>
                <c:pt idx="6">
                  <c:v>0</c:v>
                </c:pt>
                <c:pt idx="7">
                  <c:v>0</c:v>
                </c:pt>
                <c:pt idx="8">
                  <c:v>0</c:v>
                </c:pt>
                <c:pt idx="9">
                  <c:v>0</c:v>
                </c:pt>
                <c:pt idx="10">
                  <c:v>0</c:v>
                </c:pt>
                <c:pt idx="11" formatCode="#,##0.00">
                  <c:v>0</c:v>
                </c:pt>
                <c:pt idx="12" formatCode="#,##0.00">
                  <c:v>0</c:v>
                </c:pt>
                <c:pt idx="13" formatCode="#,##0.00">
                  <c:v>0</c:v>
                </c:pt>
                <c:pt idx="14" formatCode="#,##0.00">
                  <c:v>0</c:v>
                </c:pt>
                <c:pt idx="15">
                  <c:v>0</c:v>
                </c:pt>
              </c:numCache>
            </c:numRef>
          </c:val>
          <c:extLst>
            <c:ext xmlns:c16="http://schemas.microsoft.com/office/drawing/2014/chart" uri="{C3380CC4-5D6E-409C-BE32-E72D297353CC}">
              <c16:uniqueId val="{0000001C-674E-B644-9A3D-283CC47C07D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b="1" i="0" u="none" strike="noStrike" kern="1200" baseline="0">
                <a:solidFill>
                  <a:sysClr val="windowText" lastClr="000000">
                    <a:lumMod val="75000"/>
                    <a:lumOff val="25000"/>
                  </a:sysClr>
                </a:solidFill>
              </a:rPr>
              <a:t>Fördelning av kostnader hallon på friland</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33E1-0D49-B02A-43010B54EB9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3E1-0D49-B02A-43010B54EB9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3E1-0D49-B02A-43010B54EB9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33E1-0D49-B02A-43010B54EB9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33E1-0D49-B02A-43010B54EB9D}"/>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33E1-0D49-B02A-43010B54EB9D}"/>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33E1-0D49-B02A-43010B54EB9D}"/>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33E1-0D49-B02A-43010B54EB9D}"/>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33E1-0D49-B02A-43010B54EB9D}"/>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33E1-0D49-B02A-43010B54EB9D}"/>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33E1-0D49-B02A-43010B54EB9D}"/>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33E1-0D49-B02A-43010B54EB9D}"/>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33E1-0D49-B02A-43010B54EB9D}"/>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E255-7844-BA3D-52CBE5BAAF20}"/>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E255-7844-BA3D-52CBE5BAAF2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'Hallon friland'!$Y$28:$Y$42</c:f>
              <c:strCache>
                <c:ptCount val="15"/>
                <c:pt idx="0">
                  <c:v>Gödsel och kalk</c:v>
                </c:pt>
                <c:pt idx="1">
                  <c:v>IPM Växtskydd</c:v>
                </c:pt>
                <c:pt idx="2">
                  <c:v>Pollinering</c:v>
                </c:pt>
                <c:pt idx="3">
                  <c:v>Förpackningsmaterial</c:v>
                </c:pt>
                <c:pt idx="4">
                  <c:v>Frakt av produkter</c:v>
                </c:pt>
                <c:pt idx="5">
                  <c:v>Maskinhyra och entreprenad</c:v>
                </c:pt>
                <c:pt idx="6">
                  <c:v>Energikostnader</c:v>
                </c:pt>
                <c:pt idx="7">
                  <c:v>Anställd personal</c:v>
                </c:pt>
                <c:pt idx="8">
                  <c:v>Almänna kostnader</c:v>
                </c:pt>
                <c:pt idx="9">
                  <c:v>Hyreskostnader åker</c:v>
                </c:pt>
                <c:pt idx="10">
                  <c:v>Byggnader</c:v>
                </c:pt>
                <c:pt idx="11">
                  <c:v>Maskiner och utrustning</c:v>
                </c:pt>
                <c:pt idx="12">
                  <c:v>Långvariga produktionsmedel</c:v>
                </c:pt>
                <c:pt idx="13">
                  <c:v>Täckdiken</c:v>
                </c:pt>
                <c:pt idx="14">
                  <c:v>Lönekrav för eget arbete</c:v>
                </c:pt>
              </c:strCache>
            </c:strRef>
          </c:cat>
          <c:val>
            <c:numRef>
              <c:f>'Hallon friland'!$Z$28:$Z$42</c:f>
              <c:numCache>
                <c:formatCode>#,##0</c:formatCode>
                <c:ptCount val="15"/>
                <c:pt idx="0">
                  <c:v>0</c:v>
                </c:pt>
                <c:pt idx="1">
                  <c:v>0</c:v>
                </c:pt>
                <c:pt idx="2">
                  <c:v>0</c:v>
                </c:pt>
                <c:pt idx="3">
                  <c:v>0</c:v>
                </c:pt>
                <c:pt idx="4">
                  <c:v>0</c:v>
                </c:pt>
                <c:pt idx="5">
                  <c:v>0</c:v>
                </c:pt>
                <c:pt idx="6">
                  <c:v>0</c:v>
                </c:pt>
                <c:pt idx="7">
                  <c:v>0</c:v>
                </c:pt>
                <c:pt idx="8" formatCode="#,##0.00">
                  <c:v>0</c:v>
                </c:pt>
                <c:pt idx="9" formatCode="#,##0.00">
                  <c:v>0</c:v>
                </c:pt>
                <c:pt idx="10">
                  <c:v>0</c:v>
                </c:pt>
                <c:pt idx="11">
                  <c:v>0</c:v>
                </c:pt>
                <c:pt idx="12">
                  <c:v>0</c:v>
                </c:pt>
                <c:pt idx="13">
                  <c:v>0</c:v>
                </c:pt>
                <c:pt idx="14">
                  <c:v>0</c:v>
                </c:pt>
              </c:numCache>
            </c:numRef>
          </c:val>
          <c:extLst>
            <c:ext xmlns:c16="http://schemas.microsoft.com/office/drawing/2014/chart" uri="{C3380CC4-5D6E-409C-BE32-E72D297353CC}">
              <c16:uniqueId val="{00000000-7829-B84F-A7B9-EEE1FE5D57E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b="1" i="0" u="none" strike="noStrike" kern="1200" baseline="0">
                <a:solidFill>
                  <a:sysClr val="windowText" lastClr="000000">
                    <a:lumMod val="75000"/>
                    <a:lumOff val="25000"/>
                  </a:sysClr>
                </a:solidFill>
              </a:rPr>
              <a:t>Kostnadsfördelning för tunnelhallon</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551-DB44-A923-2E5D80D7E94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551-DB44-A923-2E5D80D7E94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551-DB44-A923-2E5D80D7E94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551-DB44-A923-2E5D80D7E948}"/>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F551-DB44-A923-2E5D80D7E948}"/>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F551-DB44-A923-2E5D80D7E948}"/>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F551-DB44-A923-2E5D80D7E948}"/>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F551-DB44-A923-2E5D80D7E948}"/>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F551-DB44-A923-2E5D80D7E948}"/>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F551-DB44-A923-2E5D80D7E948}"/>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F551-DB44-A923-2E5D80D7E948}"/>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F551-DB44-A923-2E5D80D7E948}"/>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F551-DB44-A923-2E5D80D7E948}"/>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C336-A048-99AA-D71FCD0C503A}"/>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C336-A048-99AA-D71FCD0C503A}"/>
              </c:ext>
            </c:extLst>
          </c:dPt>
          <c:dPt>
            <c:idx val="15"/>
            <c:bubble3D val="0"/>
            <c:spPr>
              <a:solidFill>
                <a:schemeClr val="accent4">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F-258D-3C45-94AA-20AAFC08E357}"/>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'Hallon tunnel'!$Y$27:$Y$42</c:f>
              <c:strCache>
                <c:ptCount val="16"/>
                <c:pt idx="0">
                  <c:v>Plantor</c:v>
                </c:pt>
                <c:pt idx="1">
                  <c:v>Gödsel och kalk</c:v>
                </c:pt>
                <c:pt idx="2">
                  <c:v>IPM Växtskydd</c:v>
                </c:pt>
                <c:pt idx="3">
                  <c:v>Pollinering</c:v>
                </c:pt>
                <c:pt idx="4">
                  <c:v>Förpackningsmaterial</c:v>
                </c:pt>
                <c:pt idx="5">
                  <c:v>Frakt av produkter</c:v>
                </c:pt>
                <c:pt idx="6">
                  <c:v>Maskinhyra och entreprenad</c:v>
                </c:pt>
                <c:pt idx="7">
                  <c:v>Energikostnader</c:v>
                </c:pt>
                <c:pt idx="8">
                  <c:v>Anställd arbetskraft</c:v>
                </c:pt>
                <c:pt idx="9">
                  <c:v>Almänna kostnader</c:v>
                </c:pt>
                <c:pt idx="10">
                  <c:v>Hyreskostnader åker</c:v>
                </c:pt>
                <c:pt idx="11">
                  <c:v>Byggnader</c:v>
                </c:pt>
                <c:pt idx="12">
                  <c:v>Maskiner och utrustning</c:v>
                </c:pt>
                <c:pt idx="13">
                  <c:v>Långvariga produktionsmedel</c:v>
                </c:pt>
                <c:pt idx="14">
                  <c:v>Täckdiken</c:v>
                </c:pt>
                <c:pt idx="15">
                  <c:v>Lönekrav för eget arbete</c:v>
                </c:pt>
              </c:strCache>
            </c:strRef>
          </c:cat>
          <c:val>
            <c:numRef>
              <c:f>'Hallon tunnel'!$Z$27:$Z$42</c:f>
              <c:numCache>
                <c:formatCode>0</c:formatCode>
                <c:ptCount val="16"/>
                <c:pt idx="0" formatCode="#,##0">
                  <c:v>0</c:v>
                </c:pt>
                <c:pt idx="1">
                  <c:v>0</c:v>
                </c:pt>
                <c:pt idx="2" formatCode="#,##0">
                  <c:v>0</c:v>
                </c:pt>
                <c:pt idx="3" formatCode="#,##0">
                  <c:v>0</c:v>
                </c:pt>
                <c:pt idx="4">
                  <c:v>0</c:v>
                </c:pt>
                <c:pt idx="5">
                  <c:v>0</c:v>
                </c:pt>
                <c:pt idx="6">
                  <c:v>0</c:v>
                </c:pt>
                <c:pt idx="7" formatCode="#,##0">
                  <c:v>0</c:v>
                </c:pt>
                <c:pt idx="8" formatCode="#,##0.00">
                  <c:v>0</c:v>
                </c:pt>
                <c:pt idx="9" formatCode="#,##0.00">
                  <c:v>0</c:v>
                </c:pt>
                <c:pt idx="10" formatCode="#,##0.00">
                  <c:v>0</c:v>
                </c:pt>
                <c:pt idx="11" formatCode="#,##0">
                  <c:v>0</c:v>
                </c:pt>
                <c:pt idx="12" formatCode="#,##0">
                  <c:v>0</c:v>
                </c:pt>
                <c:pt idx="13" formatCode="#,##0">
                  <c:v>0</c:v>
                </c:pt>
                <c:pt idx="14" formatCode="#,##0">
                  <c:v>0</c:v>
                </c:pt>
                <c:pt idx="15" formatCode="#,##0">
                  <c:v>0</c:v>
                </c:pt>
              </c:numCache>
            </c:numRef>
          </c:val>
          <c:extLst>
            <c:ext xmlns:c16="http://schemas.microsoft.com/office/drawing/2014/chart" uri="{C3380CC4-5D6E-409C-BE32-E72D297353CC}">
              <c16:uniqueId val="{0000001A-F551-DB44-A923-2E5D80D7E94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Skördeårens kostnadsfördelning av</a:t>
            </a:r>
            <a:r>
              <a:rPr lang="fi-FI" baseline="0"/>
              <a:t> svarta vinbär</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8D4B-5B43-8BE9-67A1598EA49F}"/>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8D4B-5B43-8BE9-67A1598EA49F}"/>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8D4B-5B43-8BE9-67A1598EA49F}"/>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8D4B-5B43-8BE9-67A1598EA49F}"/>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8D4B-5B43-8BE9-67A1598EA49F}"/>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8D4B-5B43-8BE9-67A1598EA49F}"/>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8D4B-5B43-8BE9-67A1598EA49F}"/>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8D4B-5B43-8BE9-67A1598EA49F}"/>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8D4B-5B43-8BE9-67A1598EA49F}"/>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8D4B-5B43-8BE9-67A1598EA49F}"/>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8D4B-5B43-8BE9-67A1598EA49F}"/>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8D4B-5B43-8BE9-67A1598EA49F}"/>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8D4B-5B43-8BE9-67A1598EA49F}"/>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6030-1D46-9422-EB86CAF9D705}"/>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6030-1D46-9422-EB86CAF9D70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'Svarta vinbär'!$Y$27:$Y$41</c:f>
              <c:strCache>
                <c:ptCount val="15"/>
                <c:pt idx="0">
                  <c:v>Gödsel och kalk</c:v>
                </c:pt>
                <c:pt idx="1">
                  <c:v>IPM Växtskydd</c:v>
                </c:pt>
                <c:pt idx="2">
                  <c:v>Pollinering</c:v>
                </c:pt>
                <c:pt idx="3">
                  <c:v>Förpackningsmaterial</c:v>
                </c:pt>
                <c:pt idx="4">
                  <c:v>Frakt av produkter</c:v>
                </c:pt>
                <c:pt idx="5">
                  <c:v>Maskinhyra och entreprenad</c:v>
                </c:pt>
                <c:pt idx="6">
                  <c:v>Energikostnader</c:v>
                </c:pt>
                <c:pt idx="7">
                  <c:v>Anställd personal</c:v>
                </c:pt>
                <c:pt idx="8">
                  <c:v>Almänna kostnader</c:v>
                </c:pt>
                <c:pt idx="9">
                  <c:v>Hyreskostnader åker</c:v>
                </c:pt>
                <c:pt idx="10">
                  <c:v>Byggnader</c:v>
                </c:pt>
                <c:pt idx="11">
                  <c:v>Maskiner och utrustning</c:v>
                </c:pt>
                <c:pt idx="12">
                  <c:v>Långvariga produktionsmedel</c:v>
                </c:pt>
                <c:pt idx="13">
                  <c:v>Täckdiken</c:v>
                </c:pt>
                <c:pt idx="14">
                  <c:v>Lönekrav för eget arbete</c:v>
                </c:pt>
              </c:strCache>
            </c:strRef>
          </c:cat>
          <c:val>
            <c:numRef>
              <c:f>'Svarta vinbär'!$Z$27:$Z$41</c:f>
              <c:numCache>
                <c:formatCode>0</c:formatCode>
                <c:ptCount val="15"/>
                <c:pt idx="0">
                  <c:v>0</c:v>
                </c:pt>
                <c:pt idx="1">
                  <c:v>0</c:v>
                </c:pt>
                <c:pt idx="2">
                  <c:v>0</c:v>
                </c:pt>
                <c:pt idx="3">
                  <c:v>0</c:v>
                </c:pt>
                <c:pt idx="4">
                  <c:v>0</c:v>
                </c:pt>
                <c:pt idx="5">
                  <c:v>0</c:v>
                </c:pt>
                <c:pt idx="6">
                  <c:v>0</c:v>
                </c:pt>
                <c:pt idx="7">
                  <c:v>0</c:v>
                </c:pt>
                <c:pt idx="8">
                  <c:v>0</c:v>
                </c:pt>
                <c:pt idx="9" formatCode="#,##0.00">
                  <c:v>0</c:v>
                </c:pt>
                <c:pt idx="10" formatCode="#,##0">
                  <c:v>0</c:v>
                </c:pt>
                <c:pt idx="11" formatCode="#,##0">
                  <c:v>0</c:v>
                </c:pt>
                <c:pt idx="12" formatCode="#,##0">
                  <c:v>0</c:v>
                </c:pt>
                <c:pt idx="13" formatCode="#,##0">
                  <c:v>0</c:v>
                </c:pt>
                <c:pt idx="14" formatCode="#,##0">
                  <c:v>0</c:v>
                </c:pt>
              </c:numCache>
            </c:numRef>
          </c:val>
          <c:extLst>
            <c:ext xmlns:c16="http://schemas.microsoft.com/office/drawing/2014/chart" uri="{C3380CC4-5D6E-409C-BE32-E72D297353CC}">
              <c16:uniqueId val="{00000000-24F2-4944-9B54-8925596FC299}"/>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Skördeårens</a:t>
            </a:r>
            <a:r>
              <a:rPr lang="fi-FI" baseline="0"/>
              <a:t> k</a:t>
            </a:r>
            <a:r>
              <a:rPr lang="fi-FI"/>
              <a:t>ostnadsfördelning av buskblåbär </a:t>
            </a:r>
          </a:p>
        </c:rich>
      </c:tx>
      <c:layout>
        <c:manualLayout>
          <c:xMode val="edge"/>
          <c:yMode val="edge"/>
          <c:x val="0.25790944881889766"/>
          <c:y val="2.348736513836970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B35E-2845-B7C7-532DC24DD8F1}"/>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B35E-2845-B7C7-532DC24DD8F1}"/>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B35E-2845-B7C7-532DC24DD8F1}"/>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B35E-2845-B7C7-532DC24DD8F1}"/>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B35E-2845-B7C7-532DC24DD8F1}"/>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B35E-2845-B7C7-532DC24DD8F1}"/>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B35E-2845-B7C7-532DC24DD8F1}"/>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B35E-2845-B7C7-532DC24DD8F1}"/>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B35E-2845-B7C7-532DC24DD8F1}"/>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B35E-2845-B7C7-532DC24DD8F1}"/>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B35E-2845-B7C7-532DC24DD8F1}"/>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B35E-2845-B7C7-532DC24DD8F1}"/>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B35E-2845-B7C7-532DC24DD8F1}"/>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D081-0341-9D6E-257FD207A47D}"/>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D081-0341-9D6E-257FD207A47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Buskblåbär!$Y$30:$Y$44</c:f>
              <c:strCache>
                <c:ptCount val="15"/>
                <c:pt idx="0">
                  <c:v>Gödsel och kalk</c:v>
                </c:pt>
                <c:pt idx="1">
                  <c:v>IPM växtskydd</c:v>
                </c:pt>
                <c:pt idx="2">
                  <c:v>Pollinering</c:v>
                </c:pt>
                <c:pt idx="3">
                  <c:v>Förpackningsmaterial</c:v>
                </c:pt>
                <c:pt idx="4">
                  <c:v>Frakt av produkter</c:v>
                </c:pt>
                <c:pt idx="5">
                  <c:v>Maskinhyra och entreprenad</c:v>
                </c:pt>
                <c:pt idx="6">
                  <c:v>Energikostnader</c:v>
                </c:pt>
                <c:pt idx="7">
                  <c:v>Anställd personal</c:v>
                </c:pt>
                <c:pt idx="8">
                  <c:v>ALLMÄNNA KOSTNADER, buskblåbärens andel</c:v>
                </c:pt>
                <c:pt idx="9">
                  <c:v>HYRESKOSTNADER ÅKER, buskblåbärens andel</c:v>
                </c:pt>
                <c:pt idx="10">
                  <c:v>BYGGNADER</c:v>
                </c:pt>
                <c:pt idx="11">
                  <c:v>MASKINER OCH UTRUSTNING</c:v>
                </c:pt>
                <c:pt idx="12">
                  <c:v>LÅNGVARIGA PRODUKTIONSMEDEL</c:v>
                </c:pt>
                <c:pt idx="13">
                  <c:v>TÄCKDIKEN</c:v>
                </c:pt>
                <c:pt idx="14">
                  <c:v>Lönekrav för eget arbete</c:v>
                </c:pt>
              </c:strCache>
            </c:strRef>
          </c:cat>
          <c:val>
            <c:numRef>
              <c:f>Buskblåbär!$Z$30:$Z$44</c:f>
              <c:numCache>
                <c:formatCode>0</c:formatCode>
                <c:ptCount val="15"/>
                <c:pt idx="0">
                  <c:v>0</c:v>
                </c:pt>
                <c:pt idx="1">
                  <c:v>0</c:v>
                </c:pt>
                <c:pt idx="2">
                  <c:v>0</c:v>
                </c:pt>
                <c:pt idx="3">
                  <c:v>0</c:v>
                </c:pt>
                <c:pt idx="4">
                  <c:v>0</c:v>
                </c:pt>
                <c:pt idx="5">
                  <c:v>0</c:v>
                </c:pt>
                <c:pt idx="6">
                  <c:v>0</c:v>
                </c:pt>
                <c:pt idx="7">
                  <c:v>0</c:v>
                </c:pt>
                <c:pt idx="8" formatCode="#,##0.00">
                  <c:v>0</c:v>
                </c:pt>
                <c:pt idx="9" formatCode="#,##0.00">
                  <c:v>0</c:v>
                </c:pt>
                <c:pt idx="10" formatCode="#,##0">
                  <c:v>0</c:v>
                </c:pt>
                <c:pt idx="11" formatCode="#,##0">
                  <c:v>0</c:v>
                </c:pt>
                <c:pt idx="12" formatCode="#,##0">
                  <c:v>0</c:v>
                </c:pt>
                <c:pt idx="13" formatCode="#,##0">
                  <c:v>0</c:v>
                </c:pt>
                <c:pt idx="14" formatCode="#,##0">
                  <c:v>0</c:v>
                </c:pt>
              </c:numCache>
            </c:numRef>
          </c:val>
          <c:extLst>
            <c:ext xmlns:c16="http://schemas.microsoft.com/office/drawing/2014/chart" uri="{C3380CC4-5D6E-409C-BE32-E72D297353CC}">
              <c16:uniqueId val="{00000000-BCB0-2946-BFD9-10367664EEA7}"/>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Kostnadsfördelningen</a:t>
            </a:r>
            <a:r>
              <a:rPr lang="fi-FI" baseline="0"/>
              <a:t> under skördeåret för äpple </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6E6E-3640-8970-E000AF32F7D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6E6E-3640-8970-E000AF32F7D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6E6E-3640-8970-E000AF32F7D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6E6E-3640-8970-E000AF32F7D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6E6E-3640-8970-E000AF32F7D6}"/>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6E6E-3640-8970-E000AF32F7D6}"/>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6E6E-3640-8970-E000AF32F7D6}"/>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6E6E-3640-8970-E000AF32F7D6}"/>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6E6E-3640-8970-E000AF32F7D6}"/>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6E6E-3640-8970-E000AF32F7D6}"/>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6E6E-3640-8970-E000AF32F7D6}"/>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6E6E-3640-8970-E000AF32F7D6}"/>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6E6E-3640-8970-E000AF32F7D6}"/>
              </c:ext>
            </c:extLst>
          </c:dPt>
          <c:dPt>
            <c:idx val="13"/>
            <c:bubble3D val="0"/>
            <c:spPr>
              <a:solidFill>
                <a:schemeClr val="accent2">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B-6E6E-3640-8970-E000AF32F7D6}"/>
              </c:ext>
            </c:extLst>
          </c:dPt>
          <c:dPt>
            <c:idx val="14"/>
            <c:bubble3D val="0"/>
            <c:spPr>
              <a:solidFill>
                <a:schemeClr val="accent3">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D-6E6E-3640-8970-E000AF32F7D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Äpple!$Y$30:$Y$44</c:f>
              <c:strCache>
                <c:ptCount val="15"/>
                <c:pt idx="0">
                  <c:v>Gödsel och kalk</c:v>
                </c:pt>
                <c:pt idx="1">
                  <c:v>IPM Växtskydd</c:v>
                </c:pt>
                <c:pt idx="2">
                  <c:v>Pollinering</c:v>
                </c:pt>
                <c:pt idx="3">
                  <c:v>Förpackningsmaterial</c:v>
                </c:pt>
                <c:pt idx="4">
                  <c:v>Frakt av produkter</c:v>
                </c:pt>
                <c:pt idx="5">
                  <c:v>Maskinhyra och entreprenad</c:v>
                </c:pt>
                <c:pt idx="6">
                  <c:v>Energikostnader</c:v>
                </c:pt>
                <c:pt idx="7">
                  <c:v>Anställd arbetskraft</c:v>
                </c:pt>
                <c:pt idx="8">
                  <c:v>Almänna kostnader</c:v>
                </c:pt>
                <c:pt idx="9">
                  <c:v>Hyreskostnader åker</c:v>
                </c:pt>
                <c:pt idx="10">
                  <c:v>Byggnader</c:v>
                </c:pt>
                <c:pt idx="11">
                  <c:v>Maskiner och utrustning</c:v>
                </c:pt>
                <c:pt idx="12">
                  <c:v>Långvariga produktionsmedel</c:v>
                </c:pt>
                <c:pt idx="13">
                  <c:v>Täckdiken</c:v>
                </c:pt>
                <c:pt idx="14">
                  <c:v>Lönekrav för eget arbete</c:v>
                </c:pt>
              </c:strCache>
            </c:strRef>
          </c:cat>
          <c:val>
            <c:numRef>
              <c:f>Äpple!$Z$30:$Z$44</c:f>
              <c:numCache>
                <c:formatCode>0</c:formatCode>
                <c:ptCount val="15"/>
                <c:pt idx="0">
                  <c:v>260.10000000000002</c:v>
                </c:pt>
                <c:pt idx="1">
                  <c:v>349.3</c:v>
                </c:pt>
                <c:pt idx="2">
                  <c:v>800</c:v>
                </c:pt>
                <c:pt idx="3">
                  <c:v>546.66666666666663</c:v>
                </c:pt>
                <c:pt idx="4">
                  <c:v>3416.6666666666665</c:v>
                </c:pt>
                <c:pt idx="5">
                  <c:v>0</c:v>
                </c:pt>
                <c:pt idx="6">
                  <c:v>1118.7279999999998</c:v>
                </c:pt>
                <c:pt idx="7">
                  <c:v>34891.666666666664</c:v>
                </c:pt>
                <c:pt idx="8" formatCode="#,##0.00">
                  <c:v>238.2978723404255</c:v>
                </c:pt>
                <c:pt idx="9" formatCode="#,##0.00">
                  <c:v>187.2340425531915</c:v>
                </c:pt>
                <c:pt idx="10" formatCode="#,##0">
                  <c:v>611.92639447958607</c:v>
                </c:pt>
                <c:pt idx="11" formatCode="#,##0">
                  <c:v>391.26028368794329</c:v>
                </c:pt>
                <c:pt idx="12" formatCode="#,##0">
                  <c:v>96.109189189189181</c:v>
                </c:pt>
                <c:pt idx="13" formatCode="#,##0">
                  <c:v>14.285714285714286</c:v>
                </c:pt>
                <c:pt idx="14" formatCode="#,##0">
                  <c:v>2349</c:v>
                </c:pt>
              </c:numCache>
            </c:numRef>
          </c:val>
          <c:extLst>
            <c:ext xmlns:c16="http://schemas.microsoft.com/office/drawing/2014/chart" uri="{C3380CC4-5D6E-409C-BE32-E72D297353CC}">
              <c16:uniqueId val="{00000000-C3B5-C04D-BCE5-F6E2F43343AD}"/>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 av havre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51D-C44F-8068-C18154BC7191}"/>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51D-C44F-8068-C18154BC7191}"/>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51D-C44F-8068-C18154BC7191}"/>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51D-C44F-8068-C18154BC7191}"/>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F51D-C44F-8068-C18154BC7191}"/>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F51D-C44F-8068-C18154BC7191}"/>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F51D-C44F-8068-C18154BC7191}"/>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F51D-C44F-8068-C18154BC7191}"/>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F51D-C44F-8068-C18154BC7191}"/>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F51D-C44F-8068-C18154BC7191}"/>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F51D-C44F-8068-C18154BC7191}"/>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F51D-C44F-8068-C18154BC7191}"/>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F51D-C44F-8068-C18154BC719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Havre!$AB$23:$AB$35</c:f>
              <c:strCache>
                <c:ptCount val="13"/>
                <c:pt idx="0">
                  <c:v>Frö</c:v>
                </c:pt>
                <c:pt idx="1">
                  <c:v>Gödsel och kalk</c:v>
                </c:pt>
                <c:pt idx="2">
                  <c:v>IPM Växtskydd</c:v>
                </c:pt>
                <c:pt idx="3">
                  <c:v>Maskinhyra och entreprenad</c:v>
                </c:pt>
                <c:pt idx="4">
                  <c:v>Energikostnader</c:v>
                </c:pt>
                <c:pt idx="5">
                  <c:v>Anställd arbetskraft </c:v>
                </c:pt>
                <c:pt idx="6">
                  <c:v>Almänna kostnader</c:v>
                </c:pt>
                <c:pt idx="7">
                  <c:v>Hyreskostnader åker</c:v>
                </c:pt>
                <c:pt idx="8">
                  <c:v>Byggnader</c:v>
                </c:pt>
                <c:pt idx="9">
                  <c:v>Maskiner och utrustning</c:v>
                </c:pt>
                <c:pt idx="10">
                  <c:v>Långvariga produktionsmedel</c:v>
                </c:pt>
                <c:pt idx="11">
                  <c:v>Täckdiken</c:v>
                </c:pt>
                <c:pt idx="12">
                  <c:v>Lönekrav för eget arbete</c:v>
                </c:pt>
              </c:strCache>
            </c:strRef>
          </c:cat>
          <c:val>
            <c:numRef>
              <c:f>Havre!$AC$23:$AC$35</c:f>
              <c:numCache>
                <c:formatCode>0</c:formatCode>
                <c:ptCount val="13"/>
                <c:pt idx="0">
                  <c:v>0</c:v>
                </c:pt>
                <c:pt idx="1">
                  <c:v>0</c:v>
                </c:pt>
                <c:pt idx="2">
                  <c:v>0</c:v>
                </c:pt>
                <c:pt idx="3">
                  <c:v>0</c:v>
                </c:pt>
                <c:pt idx="4">
                  <c:v>0</c:v>
                </c:pt>
                <c:pt idx="5">
                  <c:v>0</c:v>
                </c:pt>
                <c:pt idx="6" formatCode="0.00">
                  <c:v>0</c:v>
                </c:pt>
                <c:pt idx="7" formatCode="0.00">
                  <c:v>0</c:v>
                </c:pt>
                <c:pt idx="8" formatCode="#,##0.00">
                  <c:v>0</c:v>
                </c:pt>
                <c:pt idx="9" formatCode="#,##0.00">
                  <c:v>0</c:v>
                </c:pt>
                <c:pt idx="10" formatCode="#,##0.00">
                  <c:v>0</c:v>
                </c:pt>
                <c:pt idx="11" formatCode="#,##0.00">
                  <c:v>0</c:v>
                </c:pt>
                <c:pt idx="12" formatCode="0.00">
                  <c:v>0</c:v>
                </c:pt>
              </c:numCache>
            </c:numRef>
          </c:val>
          <c:extLst>
            <c:ext xmlns:c16="http://schemas.microsoft.com/office/drawing/2014/chart" uri="{C3380CC4-5D6E-409C-BE32-E72D297353CC}">
              <c16:uniqueId val="{00000000-0975-6B42-9CD0-43DEBA69F93C}"/>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 av korn</a:t>
            </a:r>
          </a:p>
          <a:p>
            <a:pPr>
              <a:defRPr/>
            </a:pP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2EF3-4246-A3C8-9A5FCDE0396F}"/>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EF3-4246-A3C8-9A5FCDE0396F}"/>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2EF3-4246-A3C8-9A5FCDE0396F}"/>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2EF3-4246-A3C8-9A5FCDE0396F}"/>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2EF3-4246-A3C8-9A5FCDE0396F}"/>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2EF3-4246-A3C8-9A5FCDE0396F}"/>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2EF3-4246-A3C8-9A5FCDE0396F}"/>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2EF3-4246-A3C8-9A5FCDE0396F}"/>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2EF3-4246-A3C8-9A5FCDE0396F}"/>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2EF3-4246-A3C8-9A5FCDE0396F}"/>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2EF3-4246-A3C8-9A5FCDE0396F}"/>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2EF3-4246-A3C8-9A5FCDE0396F}"/>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2EF3-4246-A3C8-9A5FCDE0396F}"/>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Korn!$AB$23:$AB$35</c:f>
              <c:strCache>
                <c:ptCount val="13"/>
                <c:pt idx="0">
                  <c:v>Frö</c:v>
                </c:pt>
                <c:pt idx="1">
                  <c:v>Gödsel och kalk</c:v>
                </c:pt>
                <c:pt idx="2">
                  <c:v>IPM Växtskydd</c:v>
                </c:pt>
                <c:pt idx="3">
                  <c:v>Maskinhyra och entreprenad</c:v>
                </c:pt>
                <c:pt idx="4">
                  <c:v>Energikostnader</c:v>
                </c:pt>
                <c:pt idx="5">
                  <c:v>Anställd arbetskraft </c:v>
                </c:pt>
                <c:pt idx="6">
                  <c:v>Almänna kostnader</c:v>
                </c:pt>
                <c:pt idx="7">
                  <c:v>Hyreskostnader åker</c:v>
                </c:pt>
                <c:pt idx="8">
                  <c:v>Byggnader</c:v>
                </c:pt>
                <c:pt idx="9">
                  <c:v>Maskiner och utrustning</c:v>
                </c:pt>
                <c:pt idx="10">
                  <c:v>Långvariga produktionsmedel</c:v>
                </c:pt>
                <c:pt idx="11">
                  <c:v>Täckdiken</c:v>
                </c:pt>
                <c:pt idx="12">
                  <c:v>Lönekrav för eget arbete</c:v>
                </c:pt>
              </c:strCache>
            </c:strRef>
          </c:cat>
          <c:val>
            <c:numRef>
              <c:f>Korn!$AC$23:$AC$35</c:f>
              <c:numCache>
                <c:formatCode>0</c:formatCode>
                <c:ptCount val="13"/>
                <c:pt idx="0">
                  <c:v>0</c:v>
                </c:pt>
                <c:pt idx="1">
                  <c:v>0</c:v>
                </c:pt>
                <c:pt idx="2">
                  <c:v>0</c:v>
                </c:pt>
                <c:pt idx="3">
                  <c:v>0</c:v>
                </c:pt>
                <c:pt idx="4">
                  <c:v>0</c:v>
                </c:pt>
                <c:pt idx="5">
                  <c:v>0</c:v>
                </c:pt>
                <c:pt idx="6" formatCode="0.00">
                  <c:v>0</c:v>
                </c:pt>
                <c:pt idx="7" formatCode="0.00">
                  <c:v>0</c:v>
                </c:pt>
                <c:pt idx="8" formatCode="#,##0.00">
                  <c:v>0</c:v>
                </c:pt>
                <c:pt idx="9" formatCode="#,##0.00">
                  <c:v>0</c:v>
                </c:pt>
                <c:pt idx="10" formatCode="#,##0.00">
                  <c:v>0</c:v>
                </c:pt>
                <c:pt idx="11" formatCode="#,##0.00">
                  <c:v>0</c:v>
                </c:pt>
                <c:pt idx="12" formatCode="0.00">
                  <c:v>0</c:v>
                </c:pt>
              </c:numCache>
            </c:numRef>
          </c:val>
          <c:extLst>
            <c:ext xmlns:c16="http://schemas.microsoft.com/office/drawing/2014/chart" uri="{C3380CC4-5D6E-409C-BE32-E72D297353CC}">
              <c16:uniqueId val="{00000000-48EE-5444-B0AF-7DB229DAAFDF}"/>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 för vete</a:t>
            </a:r>
          </a:p>
          <a:p>
            <a:pPr>
              <a:defRPr/>
            </a:pPr>
            <a:endParaRPr lang="fi-FI" baseline="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589-AD4D-8599-69AF96C9D66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589-AD4D-8599-69AF96C9D66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589-AD4D-8599-69AF96C9D66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589-AD4D-8599-69AF96C9D66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589-AD4D-8599-69AF96C9D66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589-AD4D-8599-69AF96C9D66E}"/>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A589-AD4D-8599-69AF96C9D66E}"/>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A589-AD4D-8599-69AF96C9D66E}"/>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A589-AD4D-8599-69AF96C9D66E}"/>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A589-AD4D-8599-69AF96C9D66E}"/>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A589-AD4D-8599-69AF96C9D66E}"/>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A589-AD4D-8599-69AF96C9D66E}"/>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A589-AD4D-8599-69AF96C9D66E}"/>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Vete!$AB$23:$AB$35</c:f>
              <c:strCache>
                <c:ptCount val="13"/>
                <c:pt idx="0">
                  <c:v>Siemenet</c:v>
                </c:pt>
                <c:pt idx="1">
                  <c:v>Gödsel och kalk</c:v>
                </c:pt>
                <c:pt idx="2">
                  <c:v>IPM Växtskydd</c:v>
                </c:pt>
                <c:pt idx="3">
                  <c:v>Maskinhyra och entreprenad</c:v>
                </c:pt>
                <c:pt idx="4">
                  <c:v>Energikostnader</c:v>
                </c:pt>
                <c:pt idx="5">
                  <c:v>Anställd arbetskraft </c:v>
                </c:pt>
                <c:pt idx="6">
                  <c:v>Almänna kostnader</c:v>
                </c:pt>
                <c:pt idx="7">
                  <c:v>Hyreskostnader åker</c:v>
                </c:pt>
                <c:pt idx="8">
                  <c:v>Byggnader</c:v>
                </c:pt>
                <c:pt idx="9">
                  <c:v>Maskiner och utrustning</c:v>
                </c:pt>
                <c:pt idx="10">
                  <c:v>Långvariga produktionsmedel</c:v>
                </c:pt>
                <c:pt idx="11">
                  <c:v>Täckdiken</c:v>
                </c:pt>
                <c:pt idx="12">
                  <c:v>Lönekrav för eget arbete</c:v>
                </c:pt>
              </c:strCache>
            </c:strRef>
          </c:cat>
          <c:val>
            <c:numRef>
              <c:f>Vete!$AC$23:$AC$35</c:f>
              <c:numCache>
                <c:formatCode>0</c:formatCode>
                <c:ptCount val="13"/>
                <c:pt idx="0">
                  <c:v>0</c:v>
                </c:pt>
                <c:pt idx="1">
                  <c:v>0</c:v>
                </c:pt>
                <c:pt idx="2">
                  <c:v>0</c:v>
                </c:pt>
                <c:pt idx="3">
                  <c:v>0</c:v>
                </c:pt>
                <c:pt idx="4">
                  <c:v>0</c:v>
                </c:pt>
                <c:pt idx="5">
                  <c:v>0</c:v>
                </c:pt>
                <c:pt idx="6" formatCode="0.00">
                  <c:v>0</c:v>
                </c:pt>
                <c:pt idx="7" formatCode="0.00">
                  <c:v>0</c:v>
                </c:pt>
                <c:pt idx="8" formatCode="#,##0.00">
                  <c:v>0</c:v>
                </c:pt>
                <c:pt idx="9" formatCode="#,##0.00">
                  <c:v>0</c:v>
                </c:pt>
                <c:pt idx="10" formatCode="#,##0.00">
                  <c:v>0</c:v>
                </c:pt>
                <c:pt idx="11" formatCode="#,##0.00">
                  <c:v>0</c:v>
                </c:pt>
                <c:pt idx="12" formatCode="0.00">
                  <c:v>0</c:v>
                </c:pt>
              </c:numCache>
            </c:numRef>
          </c:val>
          <c:extLst>
            <c:ext xmlns:c16="http://schemas.microsoft.com/office/drawing/2014/chart" uri="{C3380CC4-5D6E-409C-BE32-E72D297353CC}">
              <c16:uniqueId val="{00000000-360E-5245-96FC-7B3E5208ACE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 av höstråg</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2D9-C34D-BF17-2EFA34AE920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2D9-C34D-BF17-2EFA34AE920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42D9-C34D-BF17-2EFA34AE920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42D9-C34D-BF17-2EFA34AE920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42D9-C34D-BF17-2EFA34AE9206}"/>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42D9-C34D-BF17-2EFA34AE9206}"/>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42D9-C34D-BF17-2EFA34AE9206}"/>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42D9-C34D-BF17-2EFA34AE9206}"/>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42D9-C34D-BF17-2EFA34AE9206}"/>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42D9-C34D-BF17-2EFA34AE9206}"/>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42D9-C34D-BF17-2EFA34AE9206}"/>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42D9-C34D-BF17-2EFA34AE9206}"/>
              </c:ext>
            </c:extLst>
          </c:dPt>
          <c:dPt>
            <c:idx val="12"/>
            <c:bubble3D val="0"/>
            <c:spPr>
              <a:solidFill>
                <a:schemeClr val="accent1">
                  <a:lumMod val="80000"/>
                  <a:lumOff val="2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9-42D9-C34D-BF17-2EFA34AE920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Vete!$AB$23:$AB$35</c:f>
              <c:strCache>
                <c:ptCount val="13"/>
                <c:pt idx="0">
                  <c:v>Siemenet</c:v>
                </c:pt>
                <c:pt idx="1">
                  <c:v>Gödsel och kalk</c:v>
                </c:pt>
                <c:pt idx="2">
                  <c:v>IPM Växtskydd</c:v>
                </c:pt>
                <c:pt idx="3">
                  <c:v>Maskinhyra och entreprenad</c:v>
                </c:pt>
                <c:pt idx="4">
                  <c:v>Energikostnader</c:v>
                </c:pt>
                <c:pt idx="5">
                  <c:v>Anställd arbetskraft </c:v>
                </c:pt>
                <c:pt idx="6">
                  <c:v>Almänna kostnader</c:v>
                </c:pt>
                <c:pt idx="7">
                  <c:v>Hyreskostnader åker</c:v>
                </c:pt>
                <c:pt idx="8">
                  <c:v>Byggnader</c:v>
                </c:pt>
                <c:pt idx="9">
                  <c:v>Maskiner och utrustning</c:v>
                </c:pt>
                <c:pt idx="10">
                  <c:v>Långvariga produktionsmedel</c:v>
                </c:pt>
                <c:pt idx="11">
                  <c:v>Täckdiken</c:v>
                </c:pt>
                <c:pt idx="12">
                  <c:v>Lönekrav för eget arbete</c:v>
                </c:pt>
              </c:strCache>
            </c:strRef>
          </c:cat>
          <c:val>
            <c:numRef>
              <c:f>Vete!$AC$23:$AC$35</c:f>
              <c:numCache>
                <c:formatCode>0</c:formatCode>
                <c:ptCount val="13"/>
                <c:pt idx="0">
                  <c:v>0</c:v>
                </c:pt>
                <c:pt idx="1">
                  <c:v>0</c:v>
                </c:pt>
                <c:pt idx="2">
                  <c:v>0</c:v>
                </c:pt>
                <c:pt idx="3">
                  <c:v>0</c:v>
                </c:pt>
                <c:pt idx="4">
                  <c:v>0</c:v>
                </c:pt>
                <c:pt idx="5">
                  <c:v>0</c:v>
                </c:pt>
                <c:pt idx="6" formatCode="0.00">
                  <c:v>0</c:v>
                </c:pt>
                <c:pt idx="7" formatCode="0.00">
                  <c:v>0</c:v>
                </c:pt>
                <c:pt idx="8" formatCode="#,##0.00">
                  <c:v>0</c:v>
                </c:pt>
                <c:pt idx="9" formatCode="#,##0.00">
                  <c:v>0</c:v>
                </c:pt>
                <c:pt idx="10" formatCode="#,##0.00">
                  <c:v>0</c:v>
                </c:pt>
                <c:pt idx="11" formatCode="#,##0.00">
                  <c:v>0</c:v>
                </c:pt>
                <c:pt idx="12" formatCode="0.00">
                  <c:v>0</c:v>
                </c:pt>
              </c:numCache>
            </c:numRef>
          </c:val>
          <c:extLst>
            <c:ext xmlns:c16="http://schemas.microsoft.com/office/drawing/2014/chart" uri="{C3380CC4-5D6E-409C-BE32-E72D297353CC}">
              <c16:uniqueId val="{0000001A-42D9-C34D-BF17-2EFA34AE9206}"/>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Kostnadsfördelningen</a:t>
            </a:r>
            <a:r>
              <a:rPr lang="fi-FI" baseline="0"/>
              <a:t> för naturvårdsåkern</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F93-3F40-A3D9-6D4AC32F8BE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F93-3F40-A3D9-6D4AC32F8BE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F93-3F40-A3D9-6D4AC32F8BE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FF93-3F40-A3D9-6D4AC32F8BE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FF93-3F40-A3D9-6D4AC32F8BED}"/>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FF93-3F40-A3D9-6D4AC32F8BED}"/>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FF93-3F40-A3D9-6D4AC32F8BED}"/>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FF93-3F40-A3D9-6D4AC32F8BED}"/>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FF93-3F40-A3D9-6D4AC32F8BED}"/>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FF93-3F40-A3D9-6D4AC32F8BED}"/>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FF93-3F40-A3D9-6D4AC32F8BED}"/>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FF93-3F40-A3D9-6D4AC32F8BE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Naturvårdsåker!$AB$24:$AB$35</c:f>
              <c:strCache>
                <c:ptCount val="12"/>
                <c:pt idx="0">
                  <c:v>Gödsel och kalk</c:v>
                </c:pt>
                <c:pt idx="1">
                  <c:v>IPM Växtskydd</c:v>
                </c:pt>
                <c:pt idx="2">
                  <c:v>Maskinhyra och entreprenad</c:v>
                </c:pt>
                <c:pt idx="3">
                  <c:v>Energikostnader</c:v>
                </c:pt>
                <c:pt idx="4">
                  <c:v>Anställd arbetskraft </c:v>
                </c:pt>
                <c:pt idx="5">
                  <c:v>Almänna kostnader</c:v>
                </c:pt>
                <c:pt idx="6">
                  <c:v>Hyreskostnader åker</c:v>
                </c:pt>
                <c:pt idx="7">
                  <c:v>Byggnader</c:v>
                </c:pt>
                <c:pt idx="8">
                  <c:v>Maskiner och utrustning</c:v>
                </c:pt>
                <c:pt idx="9">
                  <c:v>Långvariga produktionsmedel</c:v>
                </c:pt>
                <c:pt idx="10">
                  <c:v>Täckdiken</c:v>
                </c:pt>
                <c:pt idx="11">
                  <c:v>Lönekrav för eget arbete</c:v>
                </c:pt>
              </c:strCache>
            </c:strRef>
          </c:cat>
          <c:val>
            <c:numRef>
              <c:f>Naturvårdsåker!$AC$24:$AC$35</c:f>
              <c:numCache>
                <c:formatCode>0.00</c:formatCode>
                <c:ptCount val="12"/>
                <c:pt idx="0">
                  <c:v>0</c:v>
                </c:pt>
                <c:pt idx="1">
                  <c:v>0</c:v>
                </c:pt>
                <c:pt idx="2">
                  <c:v>0</c:v>
                </c:pt>
                <c:pt idx="3">
                  <c:v>0</c:v>
                </c:pt>
                <c:pt idx="4">
                  <c:v>0</c:v>
                </c:pt>
                <c:pt idx="5">
                  <c:v>0</c:v>
                </c:pt>
                <c:pt idx="6">
                  <c:v>0</c:v>
                </c:pt>
                <c:pt idx="7" formatCode="#,##0.00">
                  <c:v>0</c:v>
                </c:pt>
                <c:pt idx="8" formatCode="#,##0.00">
                  <c:v>0</c:v>
                </c:pt>
                <c:pt idx="9" formatCode="#,##0.00">
                  <c:v>0</c:v>
                </c:pt>
                <c:pt idx="10" formatCode="#,##0.00">
                  <c:v>0</c:v>
                </c:pt>
                <c:pt idx="11">
                  <c:v>0</c:v>
                </c:pt>
              </c:numCache>
            </c:numRef>
          </c:val>
          <c:extLst>
            <c:ext xmlns:c16="http://schemas.microsoft.com/office/drawing/2014/chart" uri="{C3380CC4-5D6E-409C-BE32-E72D297353CC}">
              <c16:uniqueId val="{00000000-ABAD-EE45-982F-A3FA23C915F0}"/>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i-FI"/>
              <a:t>Kostnadsfördelningen</a:t>
            </a:r>
            <a:r>
              <a:rPr lang="fi-FI" baseline="0"/>
              <a:t> för v</a:t>
            </a:r>
          </a:p>
          <a:p>
            <a:pPr>
              <a:defRPr/>
            </a:pPr>
            <a:r>
              <a:rPr lang="fi-FI" baseline="0"/>
              <a:t>all</a:t>
            </a:r>
            <a:endParaRPr lang="fi-FI"/>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D5D-B143-93EF-6B13416DCD7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D5D-B143-93EF-6B13416DCD7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D5D-B143-93EF-6B13416DCD7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9D5D-B143-93EF-6B13416DCD78}"/>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9D5D-B143-93EF-6B13416DCD78}"/>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9D5D-B143-93EF-6B13416DCD78}"/>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9D5D-B143-93EF-6B13416DCD78}"/>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9D5D-B143-93EF-6B13416DCD78}"/>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9D5D-B143-93EF-6B13416DCD78}"/>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9D5D-B143-93EF-6B13416DCD78}"/>
              </c:ext>
            </c:extLst>
          </c:dPt>
          <c:dPt>
            <c:idx val="10"/>
            <c:bubble3D val="0"/>
            <c:spPr>
              <a:solidFill>
                <a:schemeClr val="accent5">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9D5D-B143-93EF-6B13416DCD78}"/>
              </c:ext>
            </c:extLst>
          </c:dPt>
          <c:dPt>
            <c:idx val="11"/>
            <c:bubble3D val="0"/>
            <c:spPr>
              <a:solidFill>
                <a:schemeClr val="accent6">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9D5D-B143-93EF-6B13416DCD78}"/>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i-FI"/>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Naturvårdsåker!$AB$24:$AB$35</c:f>
              <c:strCache>
                <c:ptCount val="12"/>
                <c:pt idx="0">
                  <c:v>Gödsel och kalk</c:v>
                </c:pt>
                <c:pt idx="1">
                  <c:v>IPM Växtskydd</c:v>
                </c:pt>
                <c:pt idx="2">
                  <c:v>Maskinhyra och entreprenad</c:v>
                </c:pt>
                <c:pt idx="3">
                  <c:v>Energikostnader</c:v>
                </c:pt>
                <c:pt idx="4">
                  <c:v>Anställd arbetskraft </c:v>
                </c:pt>
                <c:pt idx="5">
                  <c:v>Almänna kostnader</c:v>
                </c:pt>
                <c:pt idx="6">
                  <c:v>Hyreskostnader åker</c:v>
                </c:pt>
                <c:pt idx="7">
                  <c:v>Byggnader</c:v>
                </c:pt>
                <c:pt idx="8">
                  <c:v>Maskiner och utrustning</c:v>
                </c:pt>
                <c:pt idx="9">
                  <c:v>Långvariga produktionsmedel</c:v>
                </c:pt>
                <c:pt idx="10">
                  <c:v>Täckdiken</c:v>
                </c:pt>
                <c:pt idx="11">
                  <c:v>Lönekrav för eget arbete</c:v>
                </c:pt>
              </c:strCache>
            </c:strRef>
          </c:cat>
          <c:val>
            <c:numRef>
              <c:f>Naturvårdsåker!$AC$24:$AC$35</c:f>
              <c:numCache>
                <c:formatCode>0.00</c:formatCode>
                <c:ptCount val="12"/>
                <c:pt idx="0">
                  <c:v>0</c:v>
                </c:pt>
                <c:pt idx="1">
                  <c:v>0</c:v>
                </c:pt>
                <c:pt idx="2">
                  <c:v>0</c:v>
                </c:pt>
                <c:pt idx="3">
                  <c:v>0</c:v>
                </c:pt>
                <c:pt idx="4">
                  <c:v>0</c:v>
                </c:pt>
                <c:pt idx="5">
                  <c:v>0</c:v>
                </c:pt>
                <c:pt idx="6">
                  <c:v>0</c:v>
                </c:pt>
                <c:pt idx="7" formatCode="#,##0.00">
                  <c:v>0</c:v>
                </c:pt>
                <c:pt idx="8" formatCode="#,##0.00">
                  <c:v>0</c:v>
                </c:pt>
                <c:pt idx="9" formatCode="#,##0.00">
                  <c:v>0</c:v>
                </c:pt>
                <c:pt idx="10" formatCode="#,##0.00">
                  <c:v>0</c:v>
                </c:pt>
                <c:pt idx="11">
                  <c:v>0</c:v>
                </c:pt>
              </c:numCache>
            </c:numRef>
          </c:val>
          <c:extLst>
            <c:ext xmlns:c16="http://schemas.microsoft.com/office/drawing/2014/chart" uri="{C3380CC4-5D6E-409C-BE32-E72D297353CC}">
              <c16:uniqueId val="{00000018-9D5D-B143-93EF-6B13416DCD78}"/>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i-FI"/>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9.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0.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ilan tiedot'!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3810</xdr:colOff>
      <xdr:row>59</xdr:row>
      <xdr:rowOff>139700</xdr:rowOff>
    </xdr:to>
    <xdr:pic>
      <xdr:nvPicPr>
        <xdr:cNvPr id="15" name="Kuva 14">
          <a:hlinkClick xmlns:r="http://schemas.openxmlformats.org/officeDocument/2006/relationships" r:id="rId1"/>
          <a:extLst>
            <a:ext uri="{FF2B5EF4-FFF2-40B4-BE49-F238E27FC236}">
              <a16:creationId xmlns:a16="http://schemas.microsoft.com/office/drawing/2014/main" id="{8FF40CE2-03F8-A64F-AD3F-FC4B21EF16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880600" cy="9880600"/>
        </a:xfrm>
        <a:prstGeom prst="rect">
          <a:avLst/>
        </a:prstGeom>
      </xdr:spPr>
    </xdr:pic>
    <xdr:clientData/>
  </xdr:twoCellAnchor>
  <xdr:twoCellAnchor>
    <xdr:from>
      <xdr:col>0</xdr:col>
      <xdr:colOff>63500</xdr:colOff>
      <xdr:row>65</xdr:row>
      <xdr:rowOff>25400</xdr:rowOff>
    </xdr:from>
    <xdr:to>
      <xdr:col>12</xdr:col>
      <xdr:colOff>38100</xdr:colOff>
      <xdr:row>78</xdr:row>
      <xdr:rowOff>114300</xdr:rowOff>
    </xdr:to>
    <xdr:sp macro="" textlink="">
      <xdr:nvSpPr>
        <xdr:cNvPr id="16" name="Tekstiruutu 15">
          <a:extLst>
            <a:ext uri="{FF2B5EF4-FFF2-40B4-BE49-F238E27FC236}">
              <a16:creationId xmlns:a16="http://schemas.microsoft.com/office/drawing/2014/main" id="{4E432A08-61AB-934E-9E03-12446A9C79AE}"/>
            </a:ext>
          </a:extLst>
        </xdr:cNvPr>
        <xdr:cNvSpPr txBox="1"/>
      </xdr:nvSpPr>
      <xdr:spPr>
        <a:xfrm>
          <a:off x="63500" y="10756900"/>
          <a:ext cx="9880600" cy="2235200"/>
        </a:xfrm>
        <a:prstGeom prst="rect">
          <a:avLst/>
        </a:prstGeom>
        <a:ln/>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endParaRPr lang="fi-FI" sz="1800"/>
        </a:p>
        <a:p>
          <a:r>
            <a:rPr lang="fi-FI" sz="1800" baseline="0"/>
            <a:t>Updateringarna och förnyandet av kalkylerna har finansierats av både Maiju och Yrjö Rikalas trädgårdsstiftelse och av Gårdbrukets utvecklingsfond (Makera).</a:t>
          </a:r>
        </a:p>
        <a:p>
          <a:endParaRPr lang="fi-FI" sz="1800"/>
        </a:p>
        <a:p>
          <a:pPr marL="0" marR="0" indent="0" defTabSz="914400" eaLnBrk="1" fontAlgn="auto" latinLnBrk="0" hangingPunct="1">
            <a:lnSpc>
              <a:spcPct val="100000"/>
            </a:lnSpc>
            <a:spcBef>
              <a:spcPts val="0"/>
            </a:spcBef>
            <a:spcAft>
              <a:spcPts val="0"/>
            </a:spcAft>
            <a:buClrTx/>
            <a:buSzTx/>
            <a:buFontTx/>
            <a:buNone/>
            <a:tabLst/>
            <a:defRPr/>
          </a:pPr>
          <a:r>
            <a:rPr lang="fi-FI" sz="1800"/>
            <a:t>Givande kalkyleringsstudier önskar Anu Koivisto (Tmi Anu Koivisto) och </a:t>
          </a:r>
          <a:r>
            <a:rPr lang="fi-FI" sz="1800" baseline="0"/>
            <a:t>Nina Sevelius (Svenska </a:t>
          </a:r>
          <a:r>
            <a:rPr lang="fi-FI" sz="1800">
              <a:effectLst/>
              <a:latin typeface="Calibri" panose="020F0502020204030204" pitchFamily="34" charset="0"/>
              <a:ea typeface="Calibri" panose="020F0502020204030204" pitchFamily="34" charset="0"/>
              <a:cs typeface="Times New Roman" panose="02020603050405020304" pitchFamily="18" charset="0"/>
            </a:rPr>
            <a:t>lantbrukssällskapens förbund, SLF)</a:t>
          </a:r>
          <a:r>
            <a:rPr lang="fi-FI" sz="1800">
              <a:effectLst/>
            </a:rPr>
            <a:t> </a:t>
          </a:r>
          <a:endParaRPr lang="fi-FI" sz="1800" baseline="0"/>
        </a:p>
        <a:p>
          <a:endParaRPr lang="fi-FI" sz="1800"/>
        </a:p>
      </xdr:txBody>
    </xdr:sp>
    <xdr:clientData/>
  </xdr:twoCellAnchor>
  <xdr:twoCellAnchor>
    <xdr:from>
      <xdr:col>0</xdr:col>
      <xdr:colOff>25400</xdr:colOff>
      <xdr:row>0</xdr:row>
      <xdr:rowOff>0</xdr:rowOff>
    </xdr:from>
    <xdr:to>
      <xdr:col>12</xdr:col>
      <xdr:colOff>342900</xdr:colOff>
      <xdr:row>60</xdr:row>
      <xdr:rowOff>114300</xdr:rowOff>
    </xdr:to>
    <xdr:grpSp>
      <xdr:nvGrpSpPr>
        <xdr:cNvPr id="5" name="Grupp 2">
          <a:extLst>
            <a:ext uri="{FF2B5EF4-FFF2-40B4-BE49-F238E27FC236}">
              <a16:creationId xmlns:a16="http://schemas.microsoft.com/office/drawing/2014/main" id="{685A92DA-44AE-4C67-9C8A-29E49E668C91}"/>
            </a:ext>
          </a:extLst>
        </xdr:cNvPr>
        <xdr:cNvGrpSpPr/>
      </xdr:nvGrpSpPr>
      <xdr:grpSpPr>
        <a:xfrm>
          <a:off x="25400" y="0"/>
          <a:ext cx="9794009" cy="10089573"/>
          <a:chOff x="0" y="0"/>
          <a:chExt cx="9418320" cy="10030460"/>
        </a:xfrm>
      </xdr:grpSpPr>
      <xdr:pic>
        <xdr:nvPicPr>
          <xdr:cNvPr id="6" name="Kuva 5">
            <a:hlinkClick xmlns:r="http://schemas.openxmlformats.org/officeDocument/2006/relationships" r:id="rId1"/>
            <a:extLst>
              <a:ext uri="{FF2B5EF4-FFF2-40B4-BE49-F238E27FC236}">
                <a16:creationId xmlns:a16="http://schemas.microsoft.com/office/drawing/2014/main" id="{4B052F76-4F15-3A33-001B-E38BC3639C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9418320" cy="10030460"/>
          </a:xfrm>
          <a:prstGeom prst="rect">
            <a:avLst/>
          </a:prstGeom>
        </xdr:spPr>
      </xdr:pic>
      <xdr:sp macro="" textlink="">
        <xdr:nvSpPr>
          <xdr:cNvPr id="7" name="Rektangel: rundade hörn 1">
            <a:extLst>
              <a:ext uri="{FF2B5EF4-FFF2-40B4-BE49-F238E27FC236}">
                <a16:creationId xmlns:a16="http://schemas.microsoft.com/office/drawing/2014/main" id="{21D8F9E1-F8DF-0364-8E6E-004F6C9C5F8C}"/>
              </a:ext>
            </a:extLst>
          </xdr:cNvPr>
          <xdr:cNvSpPr/>
        </xdr:nvSpPr>
        <xdr:spPr>
          <a:xfrm>
            <a:off x="2903220" y="2712720"/>
            <a:ext cx="3825240" cy="4259580"/>
          </a:xfrm>
          <a:prstGeom prst="roundRect">
            <a:avLst/>
          </a:prstGeom>
          <a:solidFill>
            <a:schemeClr val="accent1">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sv-FI" sz="2800">
              <a:solidFill>
                <a:schemeClr val="tx1"/>
              </a:solidFill>
              <a:latin typeface="Franklin Gothic Book" panose="020B0503020102020204" pitchFamily="34" charset="0"/>
            </a:endParaRPr>
          </a:p>
          <a:p>
            <a:pPr algn="ctr"/>
            <a:endParaRPr lang="sv-FI" sz="2800">
              <a:solidFill>
                <a:schemeClr val="tx1"/>
              </a:solidFill>
              <a:latin typeface="Franklin Gothic Book" panose="020B0503020102020204" pitchFamily="34" charset="0"/>
            </a:endParaRPr>
          </a:p>
          <a:p>
            <a:pPr algn="ctr"/>
            <a:r>
              <a:rPr lang="sv-FI" sz="2800">
                <a:solidFill>
                  <a:schemeClr val="tx1"/>
                </a:solidFill>
                <a:latin typeface="Franklin Gothic Book" panose="020B0503020102020204" pitchFamily="34" charset="0"/>
              </a:rPr>
              <a:t>Produktonskostnads-</a:t>
            </a:r>
            <a:r>
              <a:rPr lang="sv-FI" sz="2800" baseline="0">
                <a:solidFill>
                  <a:schemeClr val="tx1"/>
                </a:solidFill>
                <a:latin typeface="Franklin Gothic Book" panose="020B0503020102020204" pitchFamily="34" charset="0"/>
              </a:rPr>
              <a:t> och lönsamhets-kalkyler för trädgårdsproduktion</a:t>
            </a:r>
          </a:p>
          <a:p>
            <a:pPr algn="ctr"/>
            <a:endParaRPr lang="sv-FI" sz="2800" baseline="0">
              <a:solidFill>
                <a:schemeClr val="tx1"/>
              </a:solidFill>
              <a:latin typeface="Franklin Gothic Book" panose="020B0503020102020204" pitchFamily="34" charset="0"/>
            </a:endParaRPr>
          </a:p>
          <a:p>
            <a:pPr algn="l"/>
            <a:endParaRPr lang="sv-FI" sz="1100" baseline="0">
              <a:solidFill>
                <a:schemeClr val="tx1"/>
              </a:solidFill>
              <a:latin typeface="Franklin Gothic Book" panose="020B0503020102020204" pitchFamily="34" charset="0"/>
            </a:endParaRPr>
          </a:p>
          <a:p>
            <a:pPr algn="l"/>
            <a:endParaRPr lang="sv-FI" sz="1100" baseline="0">
              <a:solidFill>
                <a:schemeClr val="tx1"/>
              </a:solidFill>
              <a:latin typeface="Franklin Gothic Book" panose="020B0503020102020204" pitchFamily="34" charset="0"/>
            </a:endParaRPr>
          </a:p>
          <a:p>
            <a:pPr algn="l"/>
            <a:endParaRPr lang="sv-FI" sz="1100" baseline="0">
              <a:solidFill>
                <a:schemeClr val="tx1"/>
              </a:solidFill>
              <a:latin typeface="Franklin Gothic Book" panose="020B0503020102020204" pitchFamily="34" charset="0"/>
            </a:endParaRPr>
          </a:p>
          <a:p>
            <a:pPr algn="l"/>
            <a:endParaRPr lang="sv-FI" sz="1100" baseline="0">
              <a:solidFill>
                <a:schemeClr val="tx1"/>
              </a:solidFill>
              <a:latin typeface="Franklin Gothic Book" panose="020B0503020102020204" pitchFamily="34" charset="0"/>
            </a:endParaRPr>
          </a:p>
          <a:p>
            <a:pPr algn="ctr"/>
            <a:r>
              <a:rPr lang="sv-FI" sz="1100" baseline="0">
                <a:solidFill>
                  <a:schemeClr val="tx1"/>
                </a:solidFill>
                <a:latin typeface="Franklin Gothic Book" panose="020B0503020102020204" pitchFamily="34" charset="0"/>
                <a:cs typeface="Times New Roman" panose="02020603050405020304" pitchFamily="18" charset="0"/>
              </a:rPr>
              <a:t>©Anu Koivisto</a:t>
            </a:r>
            <a:endParaRPr lang="sv-FI" sz="1100" baseline="0">
              <a:solidFill>
                <a:schemeClr val="tx1"/>
              </a:solidFill>
              <a:latin typeface="Franklin Gothic Book" panose="020B0503020102020204" pitchFamily="34" charset="0"/>
            </a:endParaRPr>
          </a:p>
          <a:p>
            <a:pPr algn="l"/>
            <a:endParaRPr lang="sv-FI" sz="1100" baseline="0">
              <a:solidFill>
                <a:schemeClr val="tx1"/>
              </a:solidFill>
            </a:endParaRPr>
          </a:p>
          <a:p>
            <a:pPr algn="l"/>
            <a:endParaRPr lang="sv-FI" sz="1100" baseline="0">
              <a:solidFill>
                <a:schemeClr val="tx1"/>
              </a:solidFill>
            </a:endParaRPr>
          </a:p>
          <a:p>
            <a:pPr algn="l"/>
            <a:endParaRPr lang="sv-FI" sz="1100" baseline="0"/>
          </a:p>
          <a:p>
            <a:pPr algn="l"/>
            <a:endParaRPr lang="sv-FI" sz="1100" baseline="0"/>
          </a:p>
          <a:p>
            <a:pPr algn="l"/>
            <a:endParaRPr lang="sv-FI"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243416</xdr:colOff>
      <xdr:row>43</xdr:row>
      <xdr:rowOff>192594</xdr:rowOff>
    </xdr:from>
    <xdr:to>
      <xdr:col>7</xdr:col>
      <xdr:colOff>222250</xdr:colOff>
      <xdr:row>46</xdr:row>
      <xdr:rowOff>201084</xdr:rowOff>
    </xdr:to>
    <xdr:sp macro="" textlink="">
      <xdr:nvSpPr>
        <xdr:cNvPr id="2" name="Kuvatekstinuoli alas 1">
          <a:extLst>
            <a:ext uri="{FF2B5EF4-FFF2-40B4-BE49-F238E27FC236}">
              <a16:creationId xmlns:a16="http://schemas.microsoft.com/office/drawing/2014/main" id="{7EA51C18-4C07-4947-9D14-3BECDF1C08D3}"/>
            </a:ext>
          </a:extLst>
        </xdr:cNvPr>
        <xdr:cNvSpPr/>
      </xdr:nvSpPr>
      <xdr:spPr>
        <a:xfrm>
          <a:off x="5761636" y="12099891"/>
          <a:ext cx="1243251" cy="904468"/>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050" baseline="0"/>
            <a:t>LÄGG TILL HYRESÅKERNS MEDELPRIS HÄR</a:t>
          </a:r>
        </a:p>
        <a:p>
          <a:pPr algn="l"/>
          <a:endParaRPr lang="fi-FI"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502226</xdr:colOff>
      <xdr:row>49</xdr:row>
      <xdr:rowOff>25398</xdr:rowOff>
    </xdr:from>
    <xdr:to>
      <xdr:col>20</xdr:col>
      <xdr:colOff>819727</xdr:colOff>
      <xdr:row>87</xdr:row>
      <xdr:rowOff>138545</xdr:rowOff>
    </xdr:to>
    <xdr:graphicFrame macro="">
      <xdr:nvGraphicFramePr>
        <xdr:cNvPr id="10" name="Kaavio 9">
          <a:extLst>
            <a:ext uri="{FF2B5EF4-FFF2-40B4-BE49-F238E27FC236}">
              <a16:creationId xmlns:a16="http://schemas.microsoft.com/office/drawing/2014/main" id="{7DF67140-BD10-2E43-9698-1B3443A854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531090</xdr:colOff>
      <xdr:row>90</xdr:row>
      <xdr:rowOff>80818</xdr:rowOff>
    </xdr:from>
    <xdr:to>
      <xdr:col>21</xdr:col>
      <xdr:colOff>23091</xdr:colOff>
      <xdr:row>134</xdr:row>
      <xdr:rowOff>207818</xdr:rowOff>
    </xdr:to>
    <xdr:graphicFrame macro="">
      <xdr:nvGraphicFramePr>
        <xdr:cNvPr id="11" name="Kaavio 10">
          <a:extLst>
            <a:ext uri="{FF2B5EF4-FFF2-40B4-BE49-F238E27FC236}">
              <a16:creationId xmlns:a16="http://schemas.microsoft.com/office/drawing/2014/main" id="{D5A53749-1D89-7843-AEAA-CE2407A98B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490682</xdr:colOff>
      <xdr:row>136</xdr:row>
      <xdr:rowOff>196273</xdr:rowOff>
    </xdr:from>
    <xdr:to>
      <xdr:col>21</xdr:col>
      <xdr:colOff>57727</xdr:colOff>
      <xdr:row>178</xdr:row>
      <xdr:rowOff>23091</xdr:rowOff>
    </xdr:to>
    <xdr:graphicFrame macro="">
      <xdr:nvGraphicFramePr>
        <xdr:cNvPr id="12" name="Kaavio 11">
          <a:extLst>
            <a:ext uri="{FF2B5EF4-FFF2-40B4-BE49-F238E27FC236}">
              <a16:creationId xmlns:a16="http://schemas.microsoft.com/office/drawing/2014/main" id="{E669E43B-AB27-DE46-BD3A-A65C53E5D8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755650</xdr:colOff>
      <xdr:row>2</xdr:row>
      <xdr:rowOff>57150</xdr:rowOff>
    </xdr:from>
    <xdr:to>
      <xdr:col>21</xdr:col>
      <xdr:colOff>127000</xdr:colOff>
      <xdr:row>39</xdr:row>
      <xdr:rowOff>152400</xdr:rowOff>
    </xdr:to>
    <xdr:graphicFrame macro="">
      <xdr:nvGraphicFramePr>
        <xdr:cNvPr id="5" name="Kaavio 4">
          <a:extLst>
            <a:ext uri="{FF2B5EF4-FFF2-40B4-BE49-F238E27FC236}">
              <a16:creationId xmlns:a16="http://schemas.microsoft.com/office/drawing/2014/main" id="{A9FC3684-7796-904D-ADEC-B51FDAED4E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609601</xdr:colOff>
      <xdr:row>141</xdr:row>
      <xdr:rowOff>28575</xdr:rowOff>
    </xdr:from>
    <xdr:to>
      <xdr:col>4</xdr:col>
      <xdr:colOff>754638</xdr:colOff>
      <xdr:row>148</xdr:row>
      <xdr:rowOff>85724</xdr:rowOff>
    </xdr:to>
    <xdr:sp macro="" textlink="">
      <xdr:nvSpPr>
        <xdr:cNvPr id="2" name="Kuvatekstinuoli ylös 3">
          <a:extLst>
            <a:ext uri="{FF2B5EF4-FFF2-40B4-BE49-F238E27FC236}">
              <a16:creationId xmlns:a16="http://schemas.microsoft.com/office/drawing/2014/main" id="{78783D67-B847-41A5-8543-9611DE88322B}"/>
            </a:ext>
          </a:extLst>
        </xdr:cNvPr>
        <xdr:cNvSpPr/>
      </xdr:nvSpPr>
      <xdr:spPr>
        <a:xfrm>
          <a:off x="2905126" y="30984825"/>
          <a:ext cx="1697612" cy="125729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Den här uppskattningen kommer från odlarfamiljens arbetsinsats delat med</a:t>
          </a:r>
          <a:r>
            <a:rPr lang="fi-FI" sz="1100" baseline="0"/>
            <a:t> två</a:t>
          </a:r>
          <a:endParaRPr lang="fi-FI" sz="1100"/>
        </a:p>
      </xdr:txBody>
    </xdr:sp>
    <xdr:clientData/>
  </xdr:twoCellAnchor>
  <xdr:twoCellAnchor>
    <xdr:from>
      <xdr:col>2</xdr:col>
      <xdr:colOff>1066799</xdr:colOff>
      <xdr:row>107</xdr:row>
      <xdr:rowOff>57150</xdr:rowOff>
    </xdr:from>
    <xdr:to>
      <xdr:col>4</xdr:col>
      <xdr:colOff>676274</xdr:colOff>
      <xdr:row>112</xdr:row>
      <xdr:rowOff>127000</xdr:rowOff>
    </xdr:to>
    <xdr:sp macro="" textlink="">
      <xdr:nvSpPr>
        <xdr:cNvPr id="4" name="Kuvatekstinuoli alas 1">
          <a:extLst>
            <a:ext uri="{FF2B5EF4-FFF2-40B4-BE49-F238E27FC236}">
              <a16:creationId xmlns:a16="http://schemas.microsoft.com/office/drawing/2014/main" id="{3A5524B1-03DA-43CB-BF0B-1E58D7A41199}"/>
            </a:ext>
          </a:extLst>
        </xdr:cNvPr>
        <xdr:cNvSpPr/>
      </xdr:nvSpPr>
      <xdr:spPr>
        <a:xfrm>
          <a:off x="2209799" y="24822150"/>
          <a:ext cx="2314575" cy="955675"/>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Fyll här förpackningens</a:t>
          </a:r>
          <a:r>
            <a:rPr lang="fi-FI" sz="1100" baseline="0"/>
            <a:t> storlek i kilogram, endast en siffra, t.ex. 3, ifall det är fråga om en 3 kg påse.</a:t>
          </a:r>
          <a:endParaRPr lang="fi-FI" sz="1100"/>
        </a:p>
      </xdr:txBody>
    </xdr:sp>
    <xdr:clientData/>
  </xdr:twoCellAnchor>
  <xdr:twoCellAnchor>
    <xdr:from>
      <xdr:col>10</xdr:col>
      <xdr:colOff>352425</xdr:colOff>
      <xdr:row>111</xdr:row>
      <xdr:rowOff>0</xdr:rowOff>
    </xdr:from>
    <xdr:to>
      <xdr:col>13</xdr:col>
      <xdr:colOff>95250</xdr:colOff>
      <xdr:row>117</xdr:row>
      <xdr:rowOff>123825</xdr:rowOff>
    </xdr:to>
    <xdr:sp macro="" textlink="">
      <xdr:nvSpPr>
        <xdr:cNvPr id="5" name="Kuvatekstinuoli vasemmalle 5">
          <a:extLst>
            <a:ext uri="{FF2B5EF4-FFF2-40B4-BE49-F238E27FC236}">
              <a16:creationId xmlns:a16="http://schemas.microsoft.com/office/drawing/2014/main" id="{89D39676-0328-480A-B2F5-8C51693AEB87}"/>
            </a:ext>
          </a:extLst>
        </xdr:cNvPr>
        <xdr:cNvSpPr/>
      </xdr:nvSpPr>
      <xdr:spPr>
        <a:xfrm>
          <a:off x="9115425" y="25479375"/>
          <a:ext cx="2724150" cy="115252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Förpackningarnas antal</a:t>
          </a:r>
          <a:r>
            <a:rPr lang="fi-FI" sz="1100" baseline="0"/>
            <a:t> är länkade till skördemängden och storleken på försäljningsförpackningarna</a:t>
          </a:r>
          <a:endParaRPr lang="fi-FI" sz="1100"/>
        </a:p>
      </xdr:txBody>
    </xdr:sp>
    <xdr:clientData/>
  </xdr:twoCellAnchor>
  <xdr:twoCellAnchor>
    <xdr:from>
      <xdr:col>16</xdr:col>
      <xdr:colOff>747712</xdr:colOff>
      <xdr:row>31</xdr:row>
      <xdr:rowOff>233362</xdr:rowOff>
    </xdr:from>
    <xdr:to>
      <xdr:col>22</xdr:col>
      <xdr:colOff>223837</xdr:colOff>
      <xdr:row>42</xdr:row>
      <xdr:rowOff>233362</xdr:rowOff>
    </xdr:to>
    <xdr:graphicFrame macro="">
      <xdr:nvGraphicFramePr>
        <xdr:cNvPr id="6" name="Kaavio 5">
          <a:extLst>
            <a:ext uri="{FF2B5EF4-FFF2-40B4-BE49-F238E27FC236}">
              <a16:creationId xmlns:a16="http://schemas.microsoft.com/office/drawing/2014/main" id="{0A04A92D-120C-D0EA-09C4-3E9B1B5181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523875</xdr:colOff>
      <xdr:row>21</xdr:row>
      <xdr:rowOff>152400</xdr:rowOff>
    </xdr:from>
    <xdr:to>
      <xdr:col>25</xdr:col>
      <xdr:colOff>82551</xdr:colOff>
      <xdr:row>47</xdr:row>
      <xdr:rowOff>25400</xdr:rowOff>
    </xdr:to>
    <xdr:graphicFrame macro="">
      <xdr:nvGraphicFramePr>
        <xdr:cNvPr id="7" name="Kaavio 6">
          <a:extLst>
            <a:ext uri="{FF2B5EF4-FFF2-40B4-BE49-F238E27FC236}">
              <a16:creationId xmlns:a16="http://schemas.microsoft.com/office/drawing/2014/main" id="{05CB0009-F5A7-E390-0D2D-6140CA9505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723417</xdr:colOff>
      <xdr:row>141</xdr:row>
      <xdr:rowOff>36809</xdr:rowOff>
    </xdr:from>
    <xdr:to>
      <xdr:col>4</xdr:col>
      <xdr:colOff>754637</xdr:colOff>
      <xdr:row>149</xdr:row>
      <xdr:rowOff>115746</xdr:rowOff>
    </xdr:to>
    <xdr:sp macro="" textlink="">
      <xdr:nvSpPr>
        <xdr:cNvPr id="4" name="Kuvatekstinuoli ylös 3">
          <a:extLst>
            <a:ext uri="{FF2B5EF4-FFF2-40B4-BE49-F238E27FC236}">
              <a16:creationId xmlns:a16="http://schemas.microsoft.com/office/drawing/2014/main" id="{CA582BA7-76A5-2544-8B98-ECA49674EE88}"/>
            </a:ext>
          </a:extLst>
        </xdr:cNvPr>
        <xdr:cNvSpPr/>
      </xdr:nvSpPr>
      <xdr:spPr>
        <a:xfrm>
          <a:off x="3019063" y="31442784"/>
          <a:ext cx="1584156" cy="146789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13</xdr:col>
      <xdr:colOff>701040</xdr:colOff>
      <xdr:row>21</xdr:row>
      <xdr:rowOff>106680</xdr:rowOff>
    </xdr:from>
    <xdr:to>
      <xdr:col>26</xdr:col>
      <xdr:colOff>71120</xdr:colOff>
      <xdr:row>50</xdr:row>
      <xdr:rowOff>91440</xdr:rowOff>
    </xdr:to>
    <xdr:graphicFrame macro="">
      <xdr:nvGraphicFramePr>
        <xdr:cNvPr id="5" name="Kaavio 4">
          <a:extLst>
            <a:ext uri="{FF2B5EF4-FFF2-40B4-BE49-F238E27FC236}">
              <a16:creationId xmlns:a16="http://schemas.microsoft.com/office/drawing/2014/main" id="{9625C890-C816-F147-8162-13E482A26A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186431</xdr:colOff>
      <xdr:row>107</xdr:row>
      <xdr:rowOff>11837</xdr:rowOff>
    </xdr:from>
    <xdr:to>
      <xdr:col>4</xdr:col>
      <xdr:colOff>709157</xdr:colOff>
      <xdr:row>112</xdr:row>
      <xdr:rowOff>156592</xdr:rowOff>
    </xdr:to>
    <xdr:sp macro="" textlink="">
      <xdr:nvSpPr>
        <xdr:cNvPr id="2" name="Kuvatekstinuoli alas 1">
          <a:extLst>
            <a:ext uri="{FF2B5EF4-FFF2-40B4-BE49-F238E27FC236}">
              <a16:creationId xmlns:a16="http://schemas.microsoft.com/office/drawing/2014/main" id="{A36BD0AD-D451-714B-8D6F-FB997952BD2A}"/>
            </a:ext>
          </a:extLst>
        </xdr:cNvPr>
        <xdr:cNvSpPr/>
      </xdr:nvSpPr>
      <xdr:spPr>
        <a:xfrm>
          <a:off x="2487227" y="25194827"/>
          <a:ext cx="2076318" cy="1054716"/>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395362</xdr:colOff>
      <xdr:row>110</xdr:row>
      <xdr:rowOff>98394</xdr:rowOff>
    </xdr:from>
    <xdr:to>
      <xdr:col>13</xdr:col>
      <xdr:colOff>261334</xdr:colOff>
      <xdr:row>117</xdr:row>
      <xdr:rowOff>106861</xdr:rowOff>
    </xdr:to>
    <xdr:sp macro="" textlink="">
      <xdr:nvSpPr>
        <xdr:cNvPr id="6" name="Kuvatekstinuoli vasemmalle 5">
          <a:extLst>
            <a:ext uri="{FF2B5EF4-FFF2-40B4-BE49-F238E27FC236}">
              <a16:creationId xmlns:a16="http://schemas.microsoft.com/office/drawing/2014/main" id="{60FAFA55-2B82-FE48-9B84-E9043B1D5DB2}"/>
            </a:ext>
          </a:extLst>
        </xdr:cNvPr>
        <xdr:cNvSpPr/>
      </xdr:nvSpPr>
      <xdr:spPr>
        <a:xfrm>
          <a:off x="9440401" y="25798576"/>
          <a:ext cx="2735842" cy="1255376"/>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771768</xdr:colOff>
      <xdr:row>139</xdr:row>
      <xdr:rowOff>36811</xdr:rowOff>
    </xdr:from>
    <xdr:to>
      <xdr:col>4</xdr:col>
      <xdr:colOff>791307</xdr:colOff>
      <xdr:row>146</xdr:row>
      <xdr:rowOff>175847</xdr:rowOff>
    </xdr:to>
    <xdr:sp macro="" textlink="">
      <xdr:nvSpPr>
        <xdr:cNvPr id="3" name="Kuvatekstinuoli ylös 2">
          <a:extLst>
            <a:ext uri="{FF2B5EF4-FFF2-40B4-BE49-F238E27FC236}">
              <a16:creationId xmlns:a16="http://schemas.microsoft.com/office/drawing/2014/main" id="{8BEBDE15-E37B-0C49-BE9E-41388D843281}"/>
            </a:ext>
          </a:extLst>
        </xdr:cNvPr>
        <xdr:cNvSpPr/>
      </xdr:nvSpPr>
      <xdr:spPr>
        <a:xfrm>
          <a:off x="3174999" y="31278811"/>
          <a:ext cx="1719385" cy="1340651"/>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13</xdr:col>
      <xdr:colOff>527050</xdr:colOff>
      <xdr:row>23</xdr:row>
      <xdr:rowOff>6350</xdr:rowOff>
    </xdr:from>
    <xdr:to>
      <xdr:col>26</xdr:col>
      <xdr:colOff>63500</xdr:colOff>
      <xdr:row>53</xdr:row>
      <xdr:rowOff>203200</xdr:rowOff>
    </xdr:to>
    <xdr:graphicFrame macro="">
      <xdr:nvGraphicFramePr>
        <xdr:cNvPr id="4" name="Kaavio 3">
          <a:extLst>
            <a:ext uri="{FF2B5EF4-FFF2-40B4-BE49-F238E27FC236}">
              <a16:creationId xmlns:a16="http://schemas.microsoft.com/office/drawing/2014/main" id="{4E4BB60C-934B-A04F-964A-6B57D45998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167054</xdr:colOff>
      <xdr:row>104</xdr:row>
      <xdr:rowOff>60569</xdr:rowOff>
    </xdr:from>
    <xdr:to>
      <xdr:col>5</xdr:col>
      <xdr:colOff>68384</xdr:colOff>
      <xdr:row>110</xdr:row>
      <xdr:rowOff>35169</xdr:rowOff>
    </xdr:to>
    <xdr:sp macro="" textlink="">
      <xdr:nvSpPr>
        <xdr:cNvPr id="5" name="Kuvatekstinuoli alas 4">
          <a:extLst>
            <a:ext uri="{FF2B5EF4-FFF2-40B4-BE49-F238E27FC236}">
              <a16:creationId xmlns:a16="http://schemas.microsoft.com/office/drawing/2014/main" id="{D334C8F0-CEFD-F24E-BBB1-79C4C27715FF}"/>
            </a:ext>
          </a:extLst>
        </xdr:cNvPr>
        <xdr:cNvSpPr/>
      </xdr:nvSpPr>
      <xdr:spPr>
        <a:xfrm>
          <a:off x="2570285" y="24923261"/>
          <a:ext cx="2431561" cy="1039446"/>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sz="1100"/>
        </a:p>
      </xdr:txBody>
    </xdr:sp>
    <xdr:clientData/>
  </xdr:twoCellAnchor>
  <xdr:twoCellAnchor>
    <xdr:from>
      <xdr:col>10</xdr:col>
      <xdr:colOff>596900</xdr:colOff>
      <xdr:row>108</xdr:row>
      <xdr:rowOff>25400</xdr:rowOff>
    </xdr:from>
    <xdr:to>
      <xdr:col>12</xdr:col>
      <xdr:colOff>508000</xdr:colOff>
      <xdr:row>115</xdr:row>
      <xdr:rowOff>117231</xdr:rowOff>
    </xdr:to>
    <xdr:sp macro="" textlink="">
      <xdr:nvSpPr>
        <xdr:cNvPr id="6" name="Kuvatekstinuoli vasemmalle 5">
          <a:extLst>
            <a:ext uri="{FF2B5EF4-FFF2-40B4-BE49-F238E27FC236}">
              <a16:creationId xmlns:a16="http://schemas.microsoft.com/office/drawing/2014/main" id="{5FC5D31E-3B51-EF43-89C4-89263BA97333}"/>
            </a:ext>
          </a:extLst>
        </xdr:cNvPr>
        <xdr:cNvSpPr/>
      </xdr:nvSpPr>
      <xdr:spPr>
        <a:xfrm>
          <a:off x="9604131" y="25601246"/>
          <a:ext cx="1943100" cy="1322754"/>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1460500</xdr:colOff>
      <xdr:row>4</xdr:row>
      <xdr:rowOff>266700</xdr:rowOff>
    </xdr:from>
    <xdr:to>
      <xdr:col>18</xdr:col>
      <xdr:colOff>736600</xdr:colOff>
      <xdr:row>26</xdr:row>
      <xdr:rowOff>50800</xdr:rowOff>
    </xdr:to>
    <xdr:graphicFrame macro="">
      <xdr:nvGraphicFramePr>
        <xdr:cNvPr id="3" name="Kaavio 2">
          <a:extLst>
            <a:ext uri="{FF2B5EF4-FFF2-40B4-BE49-F238E27FC236}">
              <a16:creationId xmlns:a16="http://schemas.microsoft.com/office/drawing/2014/main" id="{1B65CD29-F356-CC2F-F979-015D982F1D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688258</xdr:colOff>
      <xdr:row>205</xdr:row>
      <xdr:rowOff>36811</xdr:rowOff>
    </xdr:from>
    <xdr:to>
      <xdr:col>4</xdr:col>
      <xdr:colOff>754637</xdr:colOff>
      <xdr:row>212</xdr:row>
      <xdr:rowOff>36871</xdr:rowOff>
    </xdr:to>
    <xdr:sp macro="" textlink="">
      <xdr:nvSpPr>
        <xdr:cNvPr id="2" name="Kuvatekstinuoli ylös 1">
          <a:extLst>
            <a:ext uri="{FF2B5EF4-FFF2-40B4-BE49-F238E27FC236}">
              <a16:creationId xmlns:a16="http://schemas.microsoft.com/office/drawing/2014/main" id="{E7E6D99D-1FF0-E841-B03A-CE40C2932870}"/>
            </a:ext>
          </a:extLst>
        </xdr:cNvPr>
        <xdr:cNvSpPr/>
      </xdr:nvSpPr>
      <xdr:spPr>
        <a:xfrm>
          <a:off x="3109452" y="50316521"/>
          <a:ext cx="1762443" cy="1204511"/>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a:p>
          <a:pPr algn="l"/>
          <a:endParaRPr lang="fi-FI" sz="1100">
            <a:solidFill>
              <a:schemeClr val="lt1"/>
            </a:solidFill>
            <a:effectLst/>
            <a:latin typeface="+mn-lt"/>
            <a:ea typeface="+mn-ea"/>
            <a:cs typeface="+mn-cs"/>
          </a:endParaRPr>
        </a:p>
        <a:p>
          <a:pPr algn="l"/>
          <a:endParaRPr lang="fi-FI" sz="1100"/>
        </a:p>
      </xdr:txBody>
    </xdr:sp>
    <xdr:clientData/>
  </xdr:twoCellAnchor>
  <xdr:twoCellAnchor>
    <xdr:from>
      <xdr:col>13</xdr:col>
      <xdr:colOff>527050</xdr:colOff>
      <xdr:row>89</xdr:row>
      <xdr:rowOff>6350</xdr:rowOff>
    </xdr:from>
    <xdr:to>
      <xdr:col>26</xdr:col>
      <xdr:colOff>63500</xdr:colOff>
      <xdr:row>119</xdr:row>
      <xdr:rowOff>203200</xdr:rowOff>
    </xdr:to>
    <xdr:graphicFrame macro="">
      <xdr:nvGraphicFramePr>
        <xdr:cNvPr id="3" name="Kaavio 2">
          <a:extLst>
            <a:ext uri="{FF2B5EF4-FFF2-40B4-BE49-F238E27FC236}">
              <a16:creationId xmlns:a16="http://schemas.microsoft.com/office/drawing/2014/main" id="{1153B53B-B399-604E-923E-B87DDE3869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1104900</xdr:colOff>
      <xdr:row>169</xdr:row>
      <xdr:rowOff>110613</xdr:rowOff>
    </xdr:from>
    <xdr:to>
      <xdr:col>4</xdr:col>
      <xdr:colOff>304800</xdr:colOff>
      <xdr:row>176</xdr:row>
      <xdr:rowOff>25400</xdr:rowOff>
    </xdr:to>
    <xdr:sp macro="" textlink="">
      <xdr:nvSpPr>
        <xdr:cNvPr id="4" name="Kuvatekstinuoli alas 3">
          <a:extLst>
            <a:ext uri="{FF2B5EF4-FFF2-40B4-BE49-F238E27FC236}">
              <a16:creationId xmlns:a16="http://schemas.microsoft.com/office/drawing/2014/main" id="{02622634-7E4E-AE4B-9EED-E487B9457EA5}"/>
            </a:ext>
          </a:extLst>
        </xdr:cNvPr>
        <xdr:cNvSpPr/>
      </xdr:nvSpPr>
      <xdr:spPr>
        <a:xfrm>
          <a:off x="2370803" y="43851871"/>
          <a:ext cx="2051255" cy="1143819"/>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430161</xdr:colOff>
      <xdr:row>173</xdr:row>
      <xdr:rowOff>73742</xdr:rowOff>
    </xdr:from>
    <xdr:to>
      <xdr:col>13</xdr:col>
      <xdr:colOff>356419</xdr:colOff>
      <xdr:row>180</xdr:row>
      <xdr:rowOff>61452</xdr:rowOff>
    </xdr:to>
    <xdr:sp macro="" textlink="">
      <xdr:nvSpPr>
        <xdr:cNvPr id="5" name="Kuvatekstinuoli vasemmalle 4">
          <a:extLst>
            <a:ext uri="{FF2B5EF4-FFF2-40B4-BE49-F238E27FC236}">
              <a16:creationId xmlns:a16="http://schemas.microsoft.com/office/drawing/2014/main" id="{EF81A45B-3BBD-D143-A713-3209EA3F6210}"/>
            </a:ext>
          </a:extLst>
        </xdr:cNvPr>
        <xdr:cNvSpPr/>
      </xdr:nvSpPr>
      <xdr:spPr>
        <a:xfrm>
          <a:off x="9451258" y="44527839"/>
          <a:ext cx="2802193" cy="1192161"/>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600636</xdr:colOff>
      <xdr:row>140</xdr:row>
      <xdr:rowOff>27846</xdr:rowOff>
    </xdr:from>
    <xdr:to>
      <xdr:col>4</xdr:col>
      <xdr:colOff>753035</xdr:colOff>
      <xdr:row>148</xdr:row>
      <xdr:rowOff>26894</xdr:rowOff>
    </xdr:to>
    <xdr:sp macro="" textlink="">
      <xdr:nvSpPr>
        <xdr:cNvPr id="3" name="Kuvatekstinuoli ylös 2">
          <a:extLst>
            <a:ext uri="{FF2B5EF4-FFF2-40B4-BE49-F238E27FC236}">
              <a16:creationId xmlns:a16="http://schemas.microsoft.com/office/drawing/2014/main" id="{0BCF9216-0F7E-0D4E-938C-BFFC77FBEC94}"/>
            </a:ext>
          </a:extLst>
        </xdr:cNvPr>
        <xdr:cNvSpPr/>
      </xdr:nvSpPr>
      <xdr:spPr>
        <a:xfrm>
          <a:off x="2904565" y="31888411"/>
          <a:ext cx="1703294" cy="1424436"/>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14</xdr:col>
      <xdr:colOff>260350</xdr:colOff>
      <xdr:row>22</xdr:row>
      <xdr:rowOff>57150</xdr:rowOff>
    </xdr:from>
    <xdr:to>
      <xdr:col>26</xdr:col>
      <xdr:colOff>76200</xdr:colOff>
      <xdr:row>51</xdr:row>
      <xdr:rowOff>190500</xdr:rowOff>
    </xdr:to>
    <xdr:graphicFrame macro="">
      <xdr:nvGraphicFramePr>
        <xdr:cNvPr id="4" name="Kaavio 3">
          <a:extLst>
            <a:ext uri="{FF2B5EF4-FFF2-40B4-BE49-F238E27FC236}">
              <a16:creationId xmlns:a16="http://schemas.microsoft.com/office/drawing/2014/main" id="{EEEAF260-802E-6443-917D-B97B8CF198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1092200</xdr:colOff>
      <xdr:row>105</xdr:row>
      <xdr:rowOff>101600</xdr:rowOff>
    </xdr:from>
    <xdr:to>
      <xdr:col>4</xdr:col>
      <xdr:colOff>681317</xdr:colOff>
      <xdr:row>111</xdr:row>
      <xdr:rowOff>76200</xdr:rowOff>
    </xdr:to>
    <xdr:sp macro="" textlink="">
      <xdr:nvSpPr>
        <xdr:cNvPr id="5" name="Kuvatekstinuoli alas 4">
          <a:extLst>
            <a:ext uri="{FF2B5EF4-FFF2-40B4-BE49-F238E27FC236}">
              <a16:creationId xmlns:a16="http://schemas.microsoft.com/office/drawing/2014/main" id="{AB09308D-F306-8743-BB76-C35C81891E80}"/>
            </a:ext>
          </a:extLst>
        </xdr:cNvPr>
        <xdr:cNvSpPr/>
      </xdr:nvSpPr>
      <xdr:spPr>
        <a:xfrm>
          <a:off x="2248647" y="25462753"/>
          <a:ext cx="2287494" cy="1059329"/>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482600</xdr:colOff>
      <xdr:row>108</xdr:row>
      <xdr:rowOff>170330</xdr:rowOff>
    </xdr:from>
    <xdr:to>
      <xdr:col>13</xdr:col>
      <xdr:colOff>179294</xdr:colOff>
      <xdr:row>115</xdr:row>
      <xdr:rowOff>152401</xdr:rowOff>
    </xdr:to>
    <xdr:sp macro="" textlink="">
      <xdr:nvSpPr>
        <xdr:cNvPr id="6" name="Kuvatekstinuoli vasemmalle 5">
          <a:extLst>
            <a:ext uri="{FF2B5EF4-FFF2-40B4-BE49-F238E27FC236}">
              <a16:creationId xmlns:a16="http://schemas.microsoft.com/office/drawing/2014/main" id="{4EB8C76D-F196-6246-8329-82C85F91F664}"/>
            </a:ext>
          </a:extLst>
        </xdr:cNvPr>
        <xdr:cNvSpPr/>
      </xdr:nvSpPr>
      <xdr:spPr>
        <a:xfrm>
          <a:off x="9259047" y="26078330"/>
          <a:ext cx="2565400" cy="123713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487680</xdr:colOff>
      <xdr:row>140</xdr:row>
      <xdr:rowOff>36811</xdr:rowOff>
    </xdr:from>
    <xdr:to>
      <xdr:col>4</xdr:col>
      <xdr:colOff>754637</xdr:colOff>
      <xdr:row>147</xdr:row>
      <xdr:rowOff>68580</xdr:rowOff>
    </xdr:to>
    <xdr:sp macro="" textlink="">
      <xdr:nvSpPr>
        <xdr:cNvPr id="3" name="Kuvatekstinuoli ylös 2">
          <a:extLst>
            <a:ext uri="{FF2B5EF4-FFF2-40B4-BE49-F238E27FC236}">
              <a16:creationId xmlns:a16="http://schemas.microsoft.com/office/drawing/2014/main" id="{CA958382-AD05-C94B-B3CE-4486FE342541}"/>
            </a:ext>
          </a:extLst>
        </xdr:cNvPr>
        <xdr:cNvSpPr/>
      </xdr:nvSpPr>
      <xdr:spPr>
        <a:xfrm>
          <a:off x="2788920" y="31172131"/>
          <a:ext cx="1821437" cy="123572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14</xdr:col>
      <xdr:colOff>260350</xdr:colOff>
      <xdr:row>22</xdr:row>
      <xdr:rowOff>57150</xdr:rowOff>
    </xdr:from>
    <xdr:to>
      <xdr:col>26</xdr:col>
      <xdr:colOff>76200</xdr:colOff>
      <xdr:row>51</xdr:row>
      <xdr:rowOff>190500</xdr:rowOff>
    </xdr:to>
    <xdr:graphicFrame macro="">
      <xdr:nvGraphicFramePr>
        <xdr:cNvPr id="4" name="Kaavio 3">
          <a:extLst>
            <a:ext uri="{FF2B5EF4-FFF2-40B4-BE49-F238E27FC236}">
              <a16:creationId xmlns:a16="http://schemas.microsoft.com/office/drawing/2014/main" id="{39E84118-5AFD-FC41-8846-3B96FFAD69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139700</xdr:colOff>
      <xdr:row>104</xdr:row>
      <xdr:rowOff>160020</xdr:rowOff>
    </xdr:from>
    <xdr:to>
      <xdr:col>4</xdr:col>
      <xdr:colOff>640080</xdr:colOff>
      <xdr:row>111</xdr:row>
      <xdr:rowOff>76200</xdr:rowOff>
    </xdr:to>
    <xdr:sp macro="" textlink="">
      <xdr:nvSpPr>
        <xdr:cNvPr id="5" name="Kuvatekstinuoli alas 4">
          <a:extLst>
            <a:ext uri="{FF2B5EF4-FFF2-40B4-BE49-F238E27FC236}">
              <a16:creationId xmlns:a16="http://schemas.microsoft.com/office/drawing/2014/main" id="{CEF80E1F-E628-ED4D-8458-46CCD98F27D4}"/>
            </a:ext>
          </a:extLst>
        </xdr:cNvPr>
        <xdr:cNvSpPr/>
      </xdr:nvSpPr>
      <xdr:spPr>
        <a:xfrm>
          <a:off x="2440940" y="24734520"/>
          <a:ext cx="2054860" cy="115062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sz="1100"/>
        </a:p>
      </xdr:txBody>
    </xdr:sp>
    <xdr:clientData/>
  </xdr:twoCellAnchor>
  <xdr:twoCellAnchor>
    <xdr:from>
      <xdr:col>10</xdr:col>
      <xdr:colOff>482600</xdr:colOff>
      <xdr:row>109</xdr:row>
      <xdr:rowOff>101600</xdr:rowOff>
    </xdr:from>
    <xdr:to>
      <xdr:col>13</xdr:col>
      <xdr:colOff>0</xdr:colOff>
      <xdr:row>116</xdr:row>
      <xdr:rowOff>68580</xdr:rowOff>
    </xdr:to>
    <xdr:sp macro="" textlink="">
      <xdr:nvSpPr>
        <xdr:cNvPr id="6" name="Kuvatekstinuoli vasemmalle 5">
          <a:extLst>
            <a:ext uri="{FF2B5EF4-FFF2-40B4-BE49-F238E27FC236}">
              <a16:creationId xmlns:a16="http://schemas.microsoft.com/office/drawing/2014/main" id="{67DA1C6A-22D3-D048-B47A-49ECA8CDC030}"/>
            </a:ext>
          </a:extLst>
        </xdr:cNvPr>
        <xdr:cNvSpPr/>
      </xdr:nvSpPr>
      <xdr:spPr>
        <a:xfrm>
          <a:off x="9253220" y="25560020"/>
          <a:ext cx="2382520" cy="1193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496454</xdr:colOff>
      <xdr:row>138</xdr:row>
      <xdr:rowOff>36811</xdr:rowOff>
    </xdr:from>
    <xdr:to>
      <xdr:col>4</xdr:col>
      <xdr:colOff>754637</xdr:colOff>
      <xdr:row>145</xdr:row>
      <xdr:rowOff>11546</xdr:rowOff>
    </xdr:to>
    <xdr:sp macro="" textlink="">
      <xdr:nvSpPr>
        <xdr:cNvPr id="2" name="Kuvatekstinuoli ylös 1">
          <a:extLst>
            <a:ext uri="{FF2B5EF4-FFF2-40B4-BE49-F238E27FC236}">
              <a16:creationId xmlns:a16="http://schemas.microsoft.com/office/drawing/2014/main" id="{8A534A5A-3DDC-4348-A293-2FF4AA07345A}"/>
            </a:ext>
          </a:extLst>
        </xdr:cNvPr>
        <xdr:cNvSpPr/>
      </xdr:nvSpPr>
      <xdr:spPr>
        <a:xfrm>
          <a:off x="2805545" y="30424447"/>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3</xdr:col>
      <xdr:colOff>266700</xdr:colOff>
      <xdr:row>101</xdr:row>
      <xdr:rowOff>57150</xdr:rowOff>
    </xdr:from>
    <xdr:to>
      <xdr:col>4</xdr:col>
      <xdr:colOff>749300</xdr:colOff>
      <xdr:row>109</xdr:row>
      <xdr:rowOff>25400</xdr:rowOff>
    </xdr:to>
    <xdr:sp macro="" textlink="">
      <xdr:nvSpPr>
        <xdr:cNvPr id="4" name="Kuvatekstinuoli alas 3">
          <a:extLst>
            <a:ext uri="{FF2B5EF4-FFF2-40B4-BE49-F238E27FC236}">
              <a16:creationId xmlns:a16="http://schemas.microsoft.com/office/drawing/2014/main" id="{60A74874-E4A6-5741-B7FF-8972693F33F7}"/>
            </a:ext>
          </a:extLst>
        </xdr:cNvPr>
        <xdr:cNvSpPr/>
      </xdr:nvSpPr>
      <xdr:spPr>
        <a:xfrm>
          <a:off x="2562225" y="23698200"/>
          <a:ext cx="2035175" cy="1368425"/>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558799</xdr:colOff>
      <xdr:row>107</xdr:row>
      <xdr:rowOff>0</xdr:rowOff>
    </xdr:from>
    <xdr:to>
      <xdr:col>13</xdr:col>
      <xdr:colOff>552449</xdr:colOff>
      <xdr:row>113</xdr:row>
      <xdr:rowOff>50800</xdr:rowOff>
    </xdr:to>
    <xdr:sp macro="" textlink="">
      <xdr:nvSpPr>
        <xdr:cNvPr id="5" name="Kuvatekstinuoli vasemmalle 4">
          <a:extLst>
            <a:ext uri="{FF2B5EF4-FFF2-40B4-BE49-F238E27FC236}">
              <a16:creationId xmlns:a16="http://schemas.microsoft.com/office/drawing/2014/main" id="{5191BCB6-15F5-6645-AA0E-0141F4F4FFD5}"/>
            </a:ext>
          </a:extLst>
        </xdr:cNvPr>
        <xdr:cNvSpPr/>
      </xdr:nvSpPr>
      <xdr:spPr>
        <a:xfrm>
          <a:off x="9683749" y="24698325"/>
          <a:ext cx="2860675" cy="10795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15</xdr:col>
      <xdr:colOff>23811</xdr:colOff>
      <xdr:row>24</xdr:row>
      <xdr:rowOff>120649</xdr:rowOff>
    </xdr:from>
    <xdr:to>
      <xdr:col>24</xdr:col>
      <xdr:colOff>738186</xdr:colOff>
      <xdr:row>50</xdr:row>
      <xdr:rowOff>31750</xdr:rowOff>
    </xdr:to>
    <xdr:graphicFrame macro="">
      <xdr:nvGraphicFramePr>
        <xdr:cNvPr id="6" name="Kaavio 5">
          <a:extLst>
            <a:ext uri="{FF2B5EF4-FFF2-40B4-BE49-F238E27FC236}">
              <a16:creationId xmlns:a16="http://schemas.microsoft.com/office/drawing/2014/main" id="{58ABEC1A-BFEF-4A51-ABF5-4B12D0082A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701040</xdr:colOff>
      <xdr:row>21</xdr:row>
      <xdr:rowOff>106680</xdr:rowOff>
    </xdr:from>
    <xdr:to>
      <xdr:col>26</xdr:col>
      <xdr:colOff>71120</xdr:colOff>
      <xdr:row>50</xdr:row>
      <xdr:rowOff>91440</xdr:rowOff>
    </xdr:to>
    <xdr:graphicFrame macro="">
      <xdr:nvGraphicFramePr>
        <xdr:cNvPr id="3" name="Kaavio 2">
          <a:extLst>
            <a:ext uri="{FF2B5EF4-FFF2-40B4-BE49-F238E27FC236}">
              <a16:creationId xmlns:a16="http://schemas.microsoft.com/office/drawing/2014/main" id="{93A5D2CF-2F81-2C42-B703-D914579F34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1219200</xdr:colOff>
      <xdr:row>105</xdr:row>
      <xdr:rowOff>0</xdr:rowOff>
    </xdr:from>
    <xdr:to>
      <xdr:col>4</xdr:col>
      <xdr:colOff>419100</xdr:colOff>
      <xdr:row>112</xdr:row>
      <xdr:rowOff>165100</xdr:rowOff>
    </xdr:to>
    <xdr:sp macro="" textlink="">
      <xdr:nvSpPr>
        <xdr:cNvPr id="4" name="Kuvatekstinuoli alas 3">
          <a:extLst>
            <a:ext uri="{FF2B5EF4-FFF2-40B4-BE49-F238E27FC236}">
              <a16:creationId xmlns:a16="http://schemas.microsoft.com/office/drawing/2014/main" id="{12C9D72A-E4FF-E94A-B3AF-6B1CD424A5FC}"/>
            </a:ext>
          </a:extLst>
        </xdr:cNvPr>
        <xdr:cNvSpPr/>
      </xdr:nvSpPr>
      <xdr:spPr>
        <a:xfrm>
          <a:off x="2501900" y="24447500"/>
          <a:ext cx="2209800" cy="14097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546099</xdr:colOff>
      <xdr:row>109</xdr:row>
      <xdr:rowOff>127000</xdr:rowOff>
    </xdr:from>
    <xdr:to>
      <xdr:col>13</xdr:col>
      <xdr:colOff>507999</xdr:colOff>
      <xdr:row>116</xdr:row>
      <xdr:rowOff>0</xdr:rowOff>
    </xdr:to>
    <xdr:sp macro="" textlink="">
      <xdr:nvSpPr>
        <xdr:cNvPr id="5" name="Kuvatekstinuoli vasemmalle 4">
          <a:extLst>
            <a:ext uri="{FF2B5EF4-FFF2-40B4-BE49-F238E27FC236}">
              <a16:creationId xmlns:a16="http://schemas.microsoft.com/office/drawing/2014/main" id="{FB89E9E7-47B1-5143-9767-A205D1857F92}"/>
            </a:ext>
          </a:extLst>
        </xdr:cNvPr>
        <xdr:cNvSpPr/>
      </xdr:nvSpPr>
      <xdr:spPr>
        <a:xfrm>
          <a:off x="9343735" y="25238364"/>
          <a:ext cx="2825173" cy="1085272"/>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3</xdr:col>
      <xdr:colOff>547681</xdr:colOff>
      <xdr:row>141</xdr:row>
      <xdr:rowOff>100158</xdr:rowOff>
    </xdr:from>
    <xdr:to>
      <xdr:col>4</xdr:col>
      <xdr:colOff>812958</xdr:colOff>
      <xdr:row>148</xdr:row>
      <xdr:rowOff>93672</xdr:rowOff>
    </xdr:to>
    <xdr:sp macro="" textlink="">
      <xdr:nvSpPr>
        <xdr:cNvPr id="6" name="Kuvatekstinuoli ylös 1">
          <a:extLst>
            <a:ext uri="{FF2B5EF4-FFF2-40B4-BE49-F238E27FC236}">
              <a16:creationId xmlns:a16="http://schemas.microsoft.com/office/drawing/2014/main" id="{FA7C5981-8663-46A2-8FC3-2C068EFBBAFC}"/>
            </a:ext>
          </a:extLst>
        </xdr:cNvPr>
        <xdr:cNvSpPr/>
      </xdr:nvSpPr>
      <xdr:spPr>
        <a:xfrm>
          <a:off x="2842862" y="31057556"/>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701040</xdr:colOff>
      <xdr:row>21</xdr:row>
      <xdr:rowOff>106680</xdr:rowOff>
    </xdr:from>
    <xdr:to>
      <xdr:col>26</xdr:col>
      <xdr:colOff>71120</xdr:colOff>
      <xdr:row>50</xdr:row>
      <xdr:rowOff>91440</xdr:rowOff>
    </xdr:to>
    <xdr:graphicFrame macro="">
      <xdr:nvGraphicFramePr>
        <xdr:cNvPr id="3" name="Kaavio 2">
          <a:extLst>
            <a:ext uri="{FF2B5EF4-FFF2-40B4-BE49-F238E27FC236}">
              <a16:creationId xmlns:a16="http://schemas.microsoft.com/office/drawing/2014/main" id="{8EE34BDB-A56D-C94D-BED8-042A878630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174433</xdr:colOff>
      <xdr:row>106</xdr:row>
      <xdr:rowOff>88900</xdr:rowOff>
    </xdr:from>
    <xdr:to>
      <xdr:col>4</xdr:col>
      <xdr:colOff>725276</xdr:colOff>
      <xdr:row>112</xdr:row>
      <xdr:rowOff>63500</xdr:rowOff>
    </xdr:to>
    <xdr:sp macro="" textlink="">
      <xdr:nvSpPr>
        <xdr:cNvPr id="4" name="Kuvatekstinuoli alas 3">
          <a:extLst>
            <a:ext uri="{FF2B5EF4-FFF2-40B4-BE49-F238E27FC236}">
              <a16:creationId xmlns:a16="http://schemas.microsoft.com/office/drawing/2014/main" id="{9E6C5924-C879-7C44-A622-138BE633AF0A}"/>
            </a:ext>
          </a:extLst>
        </xdr:cNvPr>
        <xdr:cNvSpPr/>
      </xdr:nvSpPr>
      <xdr:spPr>
        <a:xfrm>
          <a:off x="2469614" y="24674876"/>
          <a:ext cx="2102385" cy="1039564"/>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596900</xdr:colOff>
      <xdr:row>109</xdr:row>
      <xdr:rowOff>152400</xdr:rowOff>
    </xdr:from>
    <xdr:to>
      <xdr:col>13</xdr:col>
      <xdr:colOff>477397</xdr:colOff>
      <xdr:row>116</xdr:row>
      <xdr:rowOff>25400</xdr:rowOff>
    </xdr:to>
    <xdr:sp macro="" textlink="">
      <xdr:nvSpPr>
        <xdr:cNvPr id="5" name="Kuvatekstinuoli vasemmalle 4">
          <a:extLst>
            <a:ext uri="{FF2B5EF4-FFF2-40B4-BE49-F238E27FC236}">
              <a16:creationId xmlns:a16="http://schemas.microsoft.com/office/drawing/2014/main" id="{952FD860-7D3E-8C43-B6A2-BFDCF69F58FE}"/>
            </a:ext>
          </a:extLst>
        </xdr:cNvPr>
        <xdr:cNvSpPr/>
      </xdr:nvSpPr>
      <xdr:spPr>
        <a:xfrm>
          <a:off x="9346129" y="25280039"/>
          <a:ext cx="2735702" cy="1094036"/>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3</xdr:col>
      <xdr:colOff>523301</xdr:colOff>
      <xdr:row>141</xdr:row>
      <xdr:rowOff>45904</xdr:rowOff>
    </xdr:from>
    <xdr:to>
      <xdr:col>4</xdr:col>
      <xdr:colOff>788578</xdr:colOff>
      <xdr:row>148</xdr:row>
      <xdr:rowOff>39418</xdr:rowOff>
    </xdr:to>
    <xdr:sp macro="" textlink="">
      <xdr:nvSpPr>
        <xdr:cNvPr id="6" name="Kuvatekstinuoli ylös 1">
          <a:extLst>
            <a:ext uri="{FF2B5EF4-FFF2-40B4-BE49-F238E27FC236}">
              <a16:creationId xmlns:a16="http://schemas.microsoft.com/office/drawing/2014/main" id="{A0DE7C9D-665B-4E1B-915B-53CE939DE456}"/>
            </a:ext>
          </a:extLst>
        </xdr:cNvPr>
        <xdr:cNvSpPr/>
      </xdr:nvSpPr>
      <xdr:spPr>
        <a:xfrm>
          <a:off x="2818482" y="31003302"/>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527050</xdr:colOff>
      <xdr:row>22</xdr:row>
      <xdr:rowOff>6350</xdr:rowOff>
    </xdr:from>
    <xdr:to>
      <xdr:col>26</xdr:col>
      <xdr:colOff>63500</xdr:colOff>
      <xdr:row>52</xdr:row>
      <xdr:rowOff>203200</xdr:rowOff>
    </xdr:to>
    <xdr:graphicFrame macro="">
      <xdr:nvGraphicFramePr>
        <xdr:cNvPr id="3" name="Kaavio 2">
          <a:extLst>
            <a:ext uri="{FF2B5EF4-FFF2-40B4-BE49-F238E27FC236}">
              <a16:creationId xmlns:a16="http://schemas.microsoft.com/office/drawing/2014/main" id="{F3980B6C-4901-2644-90B0-2E789C2983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239730</xdr:colOff>
      <xdr:row>101</xdr:row>
      <xdr:rowOff>111304</xdr:rowOff>
    </xdr:from>
    <xdr:to>
      <xdr:col>4</xdr:col>
      <xdr:colOff>482600</xdr:colOff>
      <xdr:row>109</xdr:row>
      <xdr:rowOff>63500</xdr:rowOff>
    </xdr:to>
    <xdr:sp macro="" textlink="">
      <xdr:nvSpPr>
        <xdr:cNvPr id="4" name="Kuvatekstinuoli alas 3">
          <a:extLst>
            <a:ext uri="{FF2B5EF4-FFF2-40B4-BE49-F238E27FC236}">
              <a16:creationId xmlns:a16="http://schemas.microsoft.com/office/drawing/2014/main" id="{7D7828A3-0996-D542-86CB-9F6256FF160E}"/>
            </a:ext>
          </a:extLst>
        </xdr:cNvPr>
        <xdr:cNvSpPr/>
      </xdr:nvSpPr>
      <xdr:spPr>
        <a:xfrm>
          <a:off x="2542854" y="23930225"/>
          <a:ext cx="1801117" cy="1347769"/>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571500</xdr:colOff>
      <xdr:row>106</xdr:row>
      <xdr:rowOff>88900</xdr:rowOff>
    </xdr:from>
    <xdr:to>
      <xdr:col>13</xdr:col>
      <xdr:colOff>496584</xdr:colOff>
      <xdr:row>112</xdr:row>
      <xdr:rowOff>139700</xdr:rowOff>
    </xdr:to>
    <xdr:sp macro="" textlink="">
      <xdr:nvSpPr>
        <xdr:cNvPr id="5" name="Kuvatekstinuoli vasemmalle 4">
          <a:extLst>
            <a:ext uri="{FF2B5EF4-FFF2-40B4-BE49-F238E27FC236}">
              <a16:creationId xmlns:a16="http://schemas.microsoft.com/office/drawing/2014/main" id="{9D13BAE3-906D-5D44-BE4B-9EEB6E8B1AE2}"/>
            </a:ext>
          </a:extLst>
        </xdr:cNvPr>
        <xdr:cNvSpPr/>
      </xdr:nvSpPr>
      <xdr:spPr>
        <a:xfrm>
          <a:off x="9355904" y="24789687"/>
          <a:ext cx="2784725" cy="107821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3</xdr:col>
      <xdr:colOff>573640</xdr:colOff>
      <xdr:row>138</xdr:row>
      <xdr:rowOff>68494</xdr:rowOff>
    </xdr:from>
    <xdr:to>
      <xdr:col>5</xdr:col>
      <xdr:colOff>1718</xdr:colOff>
      <xdr:row>145</xdr:row>
      <xdr:rowOff>56850</xdr:rowOff>
    </xdr:to>
    <xdr:sp macro="" textlink="">
      <xdr:nvSpPr>
        <xdr:cNvPr id="6" name="Kuvatekstinuoli ylös 1">
          <a:extLst>
            <a:ext uri="{FF2B5EF4-FFF2-40B4-BE49-F238E27FC236}">
              <a16:creationId xmlns:a16="http://schemas.microsoft.com/office/drawing/2014/main" id="{9075B593-C55B-4A0F-A310-015F32F79396}"/>
            </a:ext>
          </a:extLst>
        </xdr:cNvPr>
        <xdr:cNvSpPr/>
      </xdr:nvSpPr>
      <xdr:spPr>
        <a:xfrm>
          <a:off x="2876764" y="30574179"/>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13</xdr:col>
      <xdr:colOff>527050</xdr:colOff>
      <xdr:row>22</xdr:row>
      <xdr:rowOff>6350</xdr:rowOff>
    </xdr:from>
    <xdr:to>
      <xdr:col>26</xdr:col>
      <xdr:colOff>63500</xdr:colOff>
      <xdr:row>52</xdr:row>
      <xdr:rowOff>203200</xdr:rowOff>
    </xdr:to>
    <xdr:graphicFrame macro="">
      <xdr:nvGraphicFramePr>
        <xdr:cNvPr id="3" name="Kaavio 2">
          <a:extLst>
            <a:ext uri="{FF2B5EF4-FFF2-40B4-BE49-F238E27FC236}">
              <a16:creationId xmlns:a16="http://schemas.microsoft.com/office/drawing/2014/main" id="{74C72004-F7DE-904F-952A-611F143984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186266</xdr:colOff>
      <xdr:row>102</xdr:row>
      <xdr:rowOff>160867</xdr:rowOff>
    </xdr:from>
    <xdr:to>
      <xdr:col>4</xdr:col>
      <xdr:colOff>770466</xdr:colOff>
      <xdr:row>109</xdr:row>
      <xdr:rowOff>76201</xdr:rowOff>
    </xdr:to>
    <xdr:sp macro="" textlink="">
      <xdr:nvSpPr>
        <xdr:cNvPr id="4" name="Kuvatekstinuoli alas 3">
          <a:extLst>
            <a:ext uri="{FF2B5EF4-FFF2-40B4-BE49-F238E27FC236}">
              <a16:creationId xmlns:a16="http://schemas.microsoft.com/office/drawing/2014/main" id="{945E7145-F070-C84F-9C52-B1207EA2EF89}"/>
            </a:ext>
          </a:extLst>
        </xdr:cNvPr>
        <xdr:cNvSpPr/>
      </xdr:nvSpPr>
      <xdr:spPr>
        <a:xfrm>
          <a:off x="2489199" y="24375534"/>
          <a:ext cx="2142067" cy="1159934"/>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482600</xdr:colOff>
      <xdr:row>107</xdr:row>
      <xdr:rowOff>0</xdr:rowOff>
    </xdr:from>
    <xdr:to>
      <xdr:col>13</xdr:col>
      <xdr:colOff>423333</xdr:colOff>
      <xdr:row>113</xdr:row>
      <xdr:rowOff>50800</xdr:rowOff>
    </xdr:to>
    <xdr:sp macro="" textlink="">
      <xdr:nvSpPr>
        <xdr:cNvPr id="5" name="Kuvatekstinuoli vasemmalle 4">
          <a:extLst>
            <a:ext uri="{FF2B5EF4-FFF2-40B4-BE49-F238E27FC236}">
              <a16:creationId xmlns:a16="http://schemas.microsoft.com/office/drawing/2014/main" id="{7B2D74D6-9411-AC4D-A2CC-D38A457F2FB7}"/>
            </a:ext>
          </a:extLst>
        </xdr:cNvPr>
        <xdr:cNvSpPr/>
      </xdr:nvSpPr>
      <xdr:spPr>
        <a:xfrm>
          <a:off x="9254067" y="25103667"/>
          <a:ext cx="2802466" cy="11176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3</xdr:col>
      <xdr:colOff>575733</xdr:colOff>
      <xdr:row>138</xdr:row>
      <xdr:rowOff>59266</xdr:rowOff>
    </xdr:from>
    <xdr:to>
      <xdr:col>5</xdr:col>
      <xdr:colOff>4952</xdr:colOff>
      <xdr:row>145</xdr:row>
      <xdr:rowOff>27074</xdr:rowOff>
    </xdr:to>
    <xdr:sp macro="" textlink="">
      <xdr:nvSpPr>
        <xdr:cNvPr id="6" name="Kuvatekstinuoli ylös 1">
          <a:extLst>
            <a:ext uri="{FF2B5EF4-FFF2-40B4-BE49-F238E27FC236}">
              <a16:creationId xmlns:a16="http://schemas.microsoft.com/office/drawing/2014/main" id="{62B77C2F-DA01-4825-BDA5-A6A80B5D33AD}"/>
            </a:ext>
          </a:extLst>
        </xdr:cNvPr>
        <xdr:cNvSpPr/>
      </xdr:nvSpPr>
      <xdr:spPr>
        <a:xfrm>
          <a:off x="2878666" y="30886399"/>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527050</xdr:colOff>
      <xdr:row>22</xdr:row>
      <xdr:rowOff>6350</xdr:rowOff>
    </xdr:from>
    <xdr:to>
      <xdr:col>26</xdr:col>
      <xdr:colOff>63500</xdr:colOff>
      <xdr:row>52</xdr:row>
      <xdr:rowOff>203200</xdr:rowOff>
    </xdr:to>
    <xdr:graphicFrame macro="">
      <xdr:nvGraphicFramePr>
        <xdr:cNvPr id="3" name="Kaavio 2">
          <a:extLst>
            <a:ext uri="{FF2B5EF4-FFF2-40B4-BE49-F238E27FC236}">
              <a16:creationId xmlns:a16="http://schemas.microsoft.com/office/drawing/2014/main" id="{035E92AB-8FD8-F844-A550-50A9DF4AD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134620</xdr:colOff>
      <xdr:row>102</xdr:row>
      <xdr:rowOff>129540</xdr:rowOff>
    </xdr:from>
    <xdr:to>
      <xdr:col>4</xdr:col>
      <xdr:colOff>617220</xdr:colOff>
      <xdr:row>108</xdr:row>
      <xdr:rowOff>111760</xdr:rowOff>
    </xdr:to>
    <xdr:sp macro="" textlink="">
      <xdr:nvSpPr>
        <xdr:cNvPr id="4" name="Kuvatekstinuoli alas 3">
          <a:extLst>
            <a:ext uri="{FF2B5EF4-FFF2-40B4-BE49-F238E27FC236}">
              <a16:creationId xmlns:a16="http://schemas.microsoft.com/office/drawing/2014/main" id="{6DD1B3D1-E4AF-D046-882E-C999738AEC4C}"/>
            </a:ext>
          </a:extLst>
        </xdr:cNvPr>
        <xdr:cNvSpPr/>
      </xdr:nvSpPr>
      <xdr:spPr>
        <a:xfrm>
          <a:off x="2435860" y="24208740"/>
          <a:ext cx="2037080" cy="10414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påse</a:t>
          </a:r>
          <a:endParaRPr lang="fi-FI">
            <a:effectLst/>
          </a:endParaRPr>
        </a:p>
      </xdr:txBody>
    </xdr:sp>
    <xdr:clientData/>
  </xdr:twoCellAnchor>
  <xdr:twoCellAnchor>
    <xdr:from>
      <xdr:col>10</xdr:col>
      <xdr:colOff>505460</xdr:colOff>
      <xdr:row>107</xdr:row>
      <xdr:rowOff>66040</xdr:rowOff>
    </xdr:from>
    <xdr:to>
      <xdr:col>13</xdr:col>
      <xdr:colOff>472440</xdr:colOff>
      <xdr:row>113</xdr:row>
      <xdr:rowOff>116840</xdr:rowOff>
    </xdr:to>
    <xdr:sp macro="" textlink="">
      <xdr:nvSpPr>
        <xdr:cNvPr id="5" name="Kuvatekstinuoli vasemmalle 4">
          <a:extLst>
            <a:ext uri="{FF2B5EF4-FFF2-40B4-BE49-F238E27FC236}">
              <a16:creationId xmlns:a16="http://schemas.microsoft.com/office/drawing/2014/main" id="{71B4A230-CB80-AE41-A67D-0BD6AC54DDE6}"/>
            </a:ext>
          </a:extLst>
        </xdr:cNvPr>
        <xdr:cNvSpPr/>
      </xdr:nvSpPr>
      <xdr:spPr>
        <a:xfrm>
          <a:off x="9276080" y="25029160"/>
          <a:ext cx="2832100" cy="110236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a:t>
          </a:r>
          <a:r>
            <a:rPr lang="fi-FI" sz="1100" baseline="0">
              <a:solidFill>
                <a:schemeClr val="lt1"/>
              </a:solidFill>
              <a:effectLst/>
              <a:latin typeface="+mn-lt"/>
              <a:ea typeface="+mn-ea"/>
              <a:cs typeface="+mn-cs"/>
            </a:rPr>
            <a:t> är länkade till skördemängden och storleken på försäljningsförpackningarna</a:t>
          </a:r>
          <a:endParaRPr lang="fi-FI">
            <a:effectLst/>
          </a:endParaRPr>
        </a:p>
      </xdr:txBody>
    </xdr:sp>
    <xdr:clientData/>
  </xdr:twoCellAnchor>
  <xdr:twoCellAnchor>
    <xdr:from>
      <xdr:col>3</xdr:col>
      <xdr:colOff>586740</xdr:colOff>
      <xdr:row>138</xdr:row>
      <xdr:rowOff>38100</xdr:rowOff>
    </xdr:from>
    <xdr:to>
      <xdr:col>5</xdr:col>
      <xdr:colOff>18499</xdr:colOff>
      <xdr:row>145</xdr:row>
      <xdr:rowOff>21148</xdr:rowOff>
    </xdr:to>
    <xdr:sp macro="" textlink="">
      <xdr:nvSpPr>
        <xdr:cNvPr id="6" name="Kuvatekstinuoli ylös 1">
          <a:extLst>
            <a:ext uri="{FF2B5EF4-FFF2-40B4-BE49-F238E27FC236}">
              <a16:creationId xmlns:a16="http://schemas.microsoft.com/office/drawing/2014/main" id="{81A10CC8-AA86-43B3-8005-E6CD80CFEA6E}"/>
            </a:ext>
          </a:extLst>
        </xdr:cNvPr>
        <xdr:cNvSpPr/>
      </xdr:nvSpPr>
      <xdr:spPr>
        <a:xfrm>
          <a:off x="2887980" y="30716220"/>
          <a:ext cx="1816819" cy="11870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14</xdr:col>
      <xdr:colOff>250510</xdr:colOff>
      <xdr:row>27</xdr:row>
      <xdr:rowOff>79130</xdr:rowOff>
    </xdr:from>
    <xdr:to>
      <xdr:col>25</xdr:col>
      <xdr:colOff>727109</xdr:colOff>
      <xdr:row>73</xdr:row>
      <xdr:rowOff>23725</xdr:rowOff>
    </xdr:to>
    <xdr:graphicFrame macro="">
      <xdr:nvGraphicFramePr>
        <xdr:cNvPr id="5" name="Kaavio 4">
          <a:extLst>
            <a:ext uri="{FF2B5EF4-FFF2-40B4-BE49-F238E27FC236}">
              <a16:creationId xmlns:a16="http://schemas.microsoft.com/office/drawing/2014/main" id="{DE70BE27-1110-5245-9870-450C7258A2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578734</xdr:colOff>
      <xdr:row>151</xdr:row>
      <xdr:rowOff>43726</xdr:rowOff>
    </xdr:from>
    <xdr:to>
      <xdr:col>5</xdr:col>
      <xdr:colOff>87217</xdr:colOff>
      <xdr:row>156</xdr:row>
      <xdr:rowOff>395468</xdr:rowOff>
    </xdr:to>
    <xdr:sp macro="" textlink="">
      <xdr:nvSpPr>
        <xdr:cNvPr id="4" name="Kuvatekstinuoli ylös 3">
          <a:extLst>
            <a:ext uri="{FF2B5EF4-FFF2-40B4-BE49-F238E27FC236}">
              <a16:creationId xmlns:a16="http://schemas.microsoft.com/office/drawing/2014/main" id="{FC5F2FA1-A135-6441-A452-8771CABC9E93}"/>
            </a:ext>
          </a:extLst>
        </xdr:cNvPr>
        <xdr:cNvSpPr/>
      </xdr:nvSpPr>
      <xdr:spPr>
        <a:xfrm>
          <a:off x="2874380" y="38037625"/>
          <a:ext cx="1890938" cy="1200552"/>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fi-FI">
            <a:effectLst/>
          </a:endParaRPr>
        </a:p>
      </xdr:txBody>
    </xdr:sp>
    <xdr:clientData/>
  </xdr:twoCellAnchor>
  <xdr:twoCellAnchor>
    <xdr:from>
      <xdr:col>3</xdr:col>
      <xdr:colOff>76200</xdr:colOff>
      <xdr:row>228</xdr:row>
      <xdr:rowOff>50801</xdr:rowOff>
    </xdr:from>
    <xdr:to>
      <xdr:col>4</xdr:col>
      <xdr:colOff>678263</xdr:colOff>
      <xdr:row>233</xdr:row>
      <xdr:rowOff>108858</xdr:rowOff>
    </xdr:to>
    <xdr:sp macro="" textlink="">
      <xdr:nvSpPr>
        <xdr:cNvPr id="6" name="Kuvatekstinuoli alas 5">
          <a:extLst>
            <a:ext uri="{FF2B5EF4-FFF2-40B4-BE49-F238E27FC236}">
              <a16:creationId xmlns:a16="http://schemas.microsoft.com/office/drawing/2014/main" id="{23A3D39B-275B-4B48-B9E2-0D24D00ECCB6}"/>
            </a:ext>
          </a:extLst>
        </xdr:cNvPr>
        <xdr:cNvSpPr/>
      </xdr:nvSpPr>
      <xdr:spPr>
        <a:xfrm>
          <a:off x="2378947" y="55727043"/>
          <a:ext cx="2159558" cy="937288"/>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2, ifall det är fråga om en 2 kg påse</a:t>
          </a:r>
          <a:endParaRPr lang="fi-FI">
            <a:effectLst/>
          </a:endParaRPr>
        </a:p>
      </xdr:txBody>
    </xdr:sp>
    <xdr:clientData/>
  </xdr:twoCellAnchor>
  <xdr:twoCellAnchor>
    <xdr:from>
      <xdr:col>10</xdr:col>
      <xdr:colOff>484415</xdr:colOff>
      <xdr:row>229</xdr:row>
      <xdr:rowOff>19956</xdr:rowOff>
    </xdr:from>
    <xdr:to>
      <xdr:col>12</xdr:col>
      <xdr:colOff>582805</xdr:colOff>
      <xdr:row>236</xdr:row>
      <xdr:rowOff>149608</xdr:rowOff>
    </xdr:to>
    <xdr:sp macro="" textlink="">
      <xdr:nvSpPr>
        <xdr:cNvPr id="7" name="Kuvatekstinuoli vasemmalle 6">
          <a:extLst>
            <a:ext uri="{FF2B5EF4-FFF2-40B4-BE49-F238E27FC236}">
              <a16:creationId xmlns:a16="http://schemas.microsoft.com/office/drawing/2014/main" id="{7C48BA59-D165-DC4E-919C-2435913F0100}"/>
            </a:ext>
          </a:extLst>
        </xdr:cNvPr>
        <xdr:cNvSpPr/>
      </xdr:nvSpPr>
      <xdr:spPr>
        <a:xfrm>
          <a:off x="9272815" y="55733042"/>
          <a:ext cx="2130390" cy="1348852"/>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Förpackningarnas antal är länkade till skördemängden och storleken på försäljningsförpackningarna.</a:t>
          </a:r>
          <a:endParaRPr lang="fi-FI">
            <a:effectLst/>
          </a:endParaRPr>
        </a:p>
      </xdr:txBody>
    </xdr:sp>
    <xdr:clientData/>
  </xdr:twoCellAnchor>
  <xdr:twoCellAnchor>
    <xdr:from>
      <xdr:col>11</xdr:col>
      <xdr:colOff>1028700</xdr:colOff>
      <xdr:row>88</xdr:row>
      <xdr:rowOff>127000</xdr:rowOff>
    </xdr:from>
    <xdr:to>
      <xdr:col>13</xdr:col>
      <xdr:colOff>431800</xdr:colOff>
      <xdr:row>95</xdr:row>
      <xdr:rowOff>203200</xdr:rowOff>
    </xdr:to>
    <xdr:sp macro="" textlink="">
      <xdr:nvSpPr>
        <xdr:cNvPr id="2" name="Kuvatekstinuoli vasemmalle 1">
          <a:extLst>
            <a:ext uri="{FF2B5EF4-FFF2-40B4-BE49-F238E27FC236}">
              <a16:creationId xmlns:a16="http://schemas.microsoft.com/office/drawing/2014/main" id="{8B80EF14-9C16-404E-B798-48A8C74871D9}"/>
            </a:ext>
          </a:extLst>
        </xdr:cNvPr>
        <xdr:cNvSpPr/>
      </xdr:nvSpPr>
      <xdr:spPr>
        <a:xfrm>
          <a:off x="11557000" y="20624800"/>
          <a:ext cx="1854200" cy="17399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Etablerings- och röjningsårets kostnader fördelas på skördeåren</a:t>
          </a:r>
          <a:endParaRPr lang="fi-FI">
            <a:effectLst/>
          </a:endParaRPr>
        </a:p>
        <a:p>
          <a:pPr algn="l"/>
          <a:endParaRPr lang="fi-FI" sz="1100" baseline="0"/>
        </a:p>
        <a:p>
          <a:pPr algn="l"/>
          <a:endParaRPr lang="fi-FI" sz="1100"/>
        </a:p>
      </xdr:txBody>
    </xdr:sp>
    <xdr:clientData/>
  </xdr:twoCellAnchor>
  <xdr:twoCellAnchor>
    <xdr:from>
      <xdr:col>11</xdr:col>
      <xdr:colOff>571500</xdr:colOff>
      <xdr:row>15</xdr:row>
      <xdr:rowOff>165100</xdr:rowOff>
    </xdr:from>
    <xdr:to>
      <xdr:col>12</xdr:col>
      <xdr:colOff>787400</xdr:colOff>
      <xdr:row>22</xdr:row>
      <xdr:rowOff>38100</xdr:rowOff>
    </xdr:to>
    <xdr:sp macro="" textlink="">
      <xdr:nvSpPr>
        <xdr:cNvPr id="8" name="Kuvatekstinuoli vasemmalle 7">
          <a:extLst>
            <a:ext uri="{FF2B5EF4-FFF2-40B4-BE49-F238E27FC236}">
              <a16:creationId xmlns:a16="http://schemas.microsoft.com/office/drawing/2014/main" id="{811F87E8-9FD2-FD46-9420-76D14F36F5C0}"/>
            </a:ext>
          </a:extLst>
        </xdr:cNvPr>
        <xdr:cNvSpPr/>
      </xdr:nvSpPr>
      <xdr:spPr>
        <a:xfrm>
          <a:off x="11099800" y="5981700"/>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Etablerings- och röjningsårets kostnader fördelas på skördeåren</a:t>
          </a:r>
        </a:p>
        <a:p>
          <a:endParaRPr lang="fi-FI">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522652</xdr:colOff>
      <xdr:row>21</xdr:row>
      <xdr:rowOff>79129</xdr:rowOff>
    </xdr:from>
    <xdr:to>
      <xdr:col>25</xdr:col>
      <xdr:colOff>273537</xdr:colOff>
      <xdr:row>53</xdr:row>
      <xdr:rowOff>205153</xdr:rowOff>
    </xdr:to>
    <xdr:graphicFrame macro="">
      <xdr:nvGraphicFramePr>
        <xdr:cNvPr id="3" name="Kaavio 2">
          <a:extLst>
            <a:ext uri="{FF2B5EF4-FFF2-40B4-BE49-F238E27FC236}">
              <a16:creationId xmlns:a16="http://schemas.microsoft.com/office/drawing/2014/main" id="{300D4931-FCA1-4947-87EB-F9FD380BD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444500</xdr:colOff>
      <xdr:row>173</xdr:row>
      <xdr:rowOff>25400</xdr:rowOff>
    </xdr:from>
    <xdr:to>
      <xdr:col>17</xdr:col>
      <xdr:colOff>88900</xdr:colOff>
      <xdr:row>182</xdr:row>
      <xdr:rowOff>165100</xdr:rowOff>
    </xdr:to>
    <xdr:sp macro="" textlink="">
      <xdr:nvSpPr>
        <xdr:cNvPr id="2" name="Kuvatekstinuoli vasemmalle 1">
          <a:extLst>
            <a:ext uri="{FF2B5EF4-FFF2-40B4-BE49-F238E27FC236}">
              <a16:creationId xmlns:a16="http://schemas.microsoft.com/office/drawing/2014/main" id="{2BA92A98-84F4-A343-AD71-50FD71D61769}"/>
            </a:ext>
          </a:extLst>
        </xdr:cNvPr>
        <xdr:cNvSpPr/>
      </xdr:nvSpPr>
      <xdr:spPr>
        <a:xfrm>
          <a:off x="12369800" y="37401500"/>
          <a:ext cx="3302000" cy="15621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b="0" i="0">
              <a:solidFill>
                <a:schemeClr val="lt1"/>
              </a:solidFill>
              <a:effectLst/>
              <a:latin typeface="+mn-lt"/>
              <a:ea typeface="+mn-ea"/>
              <a:cs typeface="+mn-cs"/>
            </a:rPr>
            <a:t>Skördekostnaden kan anges som €/kg eller €/ha. Om ackordspris används (€/kg), kom ihåg att fylla i den skördade mängden i kilogram i  tabellen.</a:t>
          </a:r>
          <a:endParaRPr lang="fi-FI" sz="1100" b="0"/>
        </a:p>
      </xdr:txBody>
    </xdr:sp>
    <xdr:clientData/>
  </xdr:twoCellAnchor>
  <xdr:twoCellAnchor>
    <xdr:from>
      <xdr:col>3</xdr:col>
      <xdr:colOff>521806</xdr:colOff>
      <xdr:row>156</xdr:row>
      <xdr:rowOff>101600</xdr:rowOff>
    </xdr:from>
    <xdr:to>
      <xdr:col>4</xdr:col>
      <xdr:colOff>784271</xdr:colOff>
      <xdr:row>163</xdr:row>
      <xdr:rowOff>57978</xdr:rowOff>
    </xdr:to>
    <xdr:sp macro="" textlink="">
      <xdr:nvSpPr>
        <xdr:cNvPr id="4" name="Kuvatekstinuoli ylös 3">
          <a:extLst>
            <a:ext uri="{FF2B5EF4-FFF2-40B4-BE49-F238E27FC236}">
              <a16:creationId xmlns:a16="http://schemas.microsoft.com/office/drawing/2014/main" id="{67240449-0C16-5B47-B43A-1847F02D6D91}"/>
            </a:ext>
          </a:extLst>
        </xdr:cNvPr>
        <xdr:cNvSpPr/>
      </xdr:nvSpPr>
      <xdr:spPr>
        <a:xfrm>
          <a:off x="2824371" y="36346296"/>
          <a:ext cx="1819596" cy="1397552"/>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fi-FI" sz="1100">
              <a:solidFill>
                <a:schemeClr val="lt1"/>
              </a:solidFill>
              <a:effectLst/>
              <a:latin typeface="+mn-lt"/>
              <a:ea typeface="+mn-ea"/>
              <a:cs typeface="+mn-cs"/>
            </a:rPr>
            <a:t>Den här uppskattningen kommer från odlarfamiljens arbetsinsats delat med</a:t>
          </a:r>
          <a:r>
            <a:rPr lang="fi-FI" sz="1100" baseline="0">
              <a:solidFill>
                <a:schemeClr val="lt1"/>
              </a:solidFill>
              <a:effectLst/>
              <a:latin typeface="+mn-lt"/>
              <a:ea typeface="+mn-ea"/>
              <a:cs typeface="+mn-cs"/>
            </a:rPr>
            <a:t> två</a:t>
          </a:r>
          <a:endParaRPr lang="fi-FI">
            <a:effectLst/>
          </a:endParaRPr>
        </a:p>
      </xdr:txBody>
    </xdr:sp>
    <xdr:clientData/>
  </xdr:twoCellAnchor>
  <xdr:twoCellAnchor>
    <xdr:from>
      <xdr:col>3</xdr:col>
      <xdr:colOff>63500</xdr:colOff>
      <xdr:row>124</xdr:row>
      <xdr:rowOff>38100</xdr:rowOff>
    </xdr:from>
    <xdr:to>
      <xdr:col>5</xdr:col>
      <xdr:colOff>16565</xdr:colOff>
      <xdr:row>130</xdr:row>
      <xdr:rowOff>25400</xdr:rowOff>
    </xdr:to>
    <xdr:sp macro="" textlink="">
      <xdr:nvSpPr>
        <xdr:cNvPr id="5" name="Kuvatekstinuoli alas 4">
          <a:extLst>
            <a:ext uri="{FF2B5EF4-FFF2-40B4-BE49-F238E27FC236}">
              <a16:creationId xmlns:a16="http://schemas.microsoft.com/office/drawing/2014/main" id="{8ACBB80C-7C1B-7543-806D-DF5426EDB896}"/>
            </a:ext>
          </a:extLst>
        </xdr:cNvPr>
        <xdr:cNvSpPr/>
      </xdr:nvSpPr>
      <xdr:spPr>
        <a:xfrm>
          <a:off x="2366065" y="30344165"/>
          <a:ext cx="2338457" cy="1030909"/>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2, ifall det är fråga om en 2 kg påse</a:t>
          </a:r>
          <a:endParaRPr lang="fi-FI">
            <a:effectLst/>
          </a:endParaRPr>
        </a:p>
      </xdr:txBody>
    </xdr:sp>
    <xdr:clientData/>
  </xdr:twoCellAnchor>
  <xdr:twoCellAnchor>
    <xdr:from>
      <xdr:col>10</xdr:col>
      <xdr:colOff>533400</xdr:colOff>
      <xdr:row>125</xdr:row>
      <xdr:rowOff>101600</xdr:rowOff>
    </xdr:from>
    <xdr:to>
      <xdr:col>12</xdr:col>
      <xdr:colOff>621196</xdr:colOff>
      <xdr:row>133</xdr:row>
      <xdr:rowOff>82826</xdr:rowOff>
    </xdr:to>
    <xdr:sp macro="" textlink="">
      <xdr:nvSpPr>
        <xdr:cNvPr id="6" name="Kuvatekstinuoli vasemmalle 5">
          <a:extLst>
            <a:ext uri="{FF2B5EF4-FFF2-40B4-BE49-F238E27FC236}">
              <a16:creationId xmlns:a16="http://schemas.microsoft.com/office/drawing/2014/main" id="{E2CB6AD6-FD99-B347-BC25-CFBCBB171D47}"/>
            </a:ext>
          </a:extLst>
        </xdr:cNvPr>
        <xdr:cNvSpPr/>
      </xdr:nvSpPr>
      <xdr:spPr>
        <a:xfrm>
          <a:off x="9304683" y="30581600"/>
          <a:ext cx="2125317" cy="1372704"/>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Förpackningarnas antal är länkade till skördemängden och storleken på försäljningsförpackningarna.</a:t>
          </a:r>
          <a:endParaRPr lang="fi-FI">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455545</xdr:colOff>
      <xdr:row>149</xdr:row>
      <xdr:rowOff>36810</xdr:rowOff>
    </xdr:from>
    <xdr:to>
      <xdr:col>4</xdr:col>
      <xdr:colOff>754638</xdr:colOff>
      <xdr:row>155</xdr:row>
      <xdr:rowOff>256760</xdr:rowOff>
    </xdr:to>
    <xdr:sp macro="" textlink="">
      <xdr:nvSpPr>
        <xdr:cNvPr id="5" name="Kuvatekstinuoli ylös 4">
          <a:extLst>
            <a:ext uri="{FF2B5EF4-FFF2-40B4-BE49-F238E27FC236}">
              <a16:creationId xmlns:a16="http://schemas.microsoft.com/office/drawing/2014/main" id="{74B00054-38FE-4A43-BCAD-B8DCBE8185CC}"/>
            </a:ext>
          </a:extLst>
        </xdr:cNvPr>
        <xdr:cNvSpPr/>
      </xdr:nvSpPr>
      <xdr:spPr>
        <a:xfrm>
          <a:off x="2758110" y="35751419"/>
          <a:ext cx="1856224" cy="1246993"/>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fi-FI">
            <a:effectLst/>
          </a:endParaRPr>
        </a:p>
      </xdr:txBody>
    </xdr:sp>
    <xdr:clientData/>
  </xdr:twoCellAnchor>
  <xdr:twoCellAnchor>
    <xdr:from>
      <xdr:col>13</xdr:col>
      <xdr:colOff>258884</xdr:colOff>
      <xdr:row>21</xdr:row>
      <xdr:rowOff>25399</xdr:rowOff>
    </xdr:from>
    <xdr:to>
      <xdr:col>23</xdr:col>
      <xdr:colOff>92365</xdr:colOff>
      <xdr:row>64</xdr:row>
      <xdr:rowOff>173181</xdr:rowOff>
    </xdr:to>
    <xdr:graphicFrame macro="">
      <xdr:nvGraphicFramePr>
        <xdr:cNvPr id="8" name="Kaavio 7">
          <a:extLst>
            <a:ext uri="{FF2B5EF4-FFF2-40B4-BE49-F238E27FC236}">
              <a16:creationId xmlns:a16="http://schemas.microsoft.com/office/drawing/2014/main" id="{4C418F5E-322A-DB4A-9841-761E5A2DC4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468922</xdr:colOff>
      <xdr:row>261</xdr:row>
      <xdr:rowOff>48846</xdr:rowOff>
    </xdr:from>
    <xdr:to>
      <xdr:col>16</xdr:col>
      <xdr:colOff>345341</xdr:colOff>
      <xdr:row>270</xdr:row>
      <xdr:rowOff>6187</xdr:rowOff>
    </xdr:to>
    <xdr:sp macro="" textlink="">
      <xdr:nvSpPr>
        <xdr:cNvPr id="6" name="Kuvatekstinuoli vasemmalle 5">
          <a:extLst>
            <a:ext uri="{FF2B5EF4-FFF2-40B4-BE49-F238E27FC236}">
              <a16:creationId xmlns:a16="http://schemas.microsoft.com/office/drawing/2014/main" id="{37C86B9F-331F-2145-AAD6-56B5EC2AAC4F}"/>
            </a:ext>
          </a:extLst>
        </xdr:cNvPr>
        <xdr:cNvSpPr/>
      </xdr:nvSpPr>
      <xdr:spPr>
        <a:xfrm>
          <a:off x="11889153" y="55489231"/>
          <a:ext cx="3295650" cy="1579033"/>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b="0" i="0">
              <a:solidFill>
                <a:schemeClr val="lt1"/>
              </a:solidFill>
              <a:effectLst/>
              <a:latin typeface="+mn-lt"/>
              <a:ea typeface="+mn-ea"/>
              <a:cs typeface="+mn-cs"/>
            </a:rPr>
            <a:t>Skördekostnaden kan anges som €/kg eller €/ha. Om ackordspris används (€/kg), kom ihåg att fylla i den skördade mängden i kilogram i  tabellen.</a:t>
          </a:r>
          <a:endParaRPr lang="fi-FI">
            <a:effectLst/>
          </a:endParaRPr>
        </a:p>
      </xdr:txBody>
    </xdr:sp>
    <xdr:clientData/>
  </xdr:twoCellAnchor>
  <xdr:twoCellAnchor>
    <xdr:from>
      <xdr:col>3</xdr:col>
      <xdr:colOff>101600</xdr:colOff>
      <xdr:row>215</xdr:row>
      <xdr:rowOff>182217</xdr:rowOff>
    </xdr:from>
    <xdr:to>
      <xdr:col>5</xdr:col>
      <xdr:colOff>57978</xdr:colOff>
      <xdr:row>222</xdr:row>
      <xdr:rowOff>50800</xdr:rowOff>
    </xdr:to>
    <xdr:sp macro="" textlink="">
      <xdr:nvSpPr>
        <xdr:cNvPr id="9" name="Kuvatekstinuoli alas 8">
          <a:extLst>
            <a:ext uri="{FF2B5EF4-FFF2-40B4-BE49-F238E27FC236}">
              <a16:creationId xmlns:a16="http://schemas.microsoft.com/office/drawing/2014/main" id="{69AA5029-5323-0543-9CA4-390377A8DFEF}"/>
            </a:ext>
          </a:extLst>
        </xdr:cNvPr>
        <xdr:cNvSpPr/>
      </xdr:nvSpPr>
      <xdr:spPr>
        <a:xfrm>
          <a:off x="2404165" y="49372630"/>
          <a:ext cx="2341770" cy="1110974"/>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 här förpackningens</a:t>
          </a:r>
          <a:r>
            <a:rPr lang="fi-FI" sz="1100" baseline="0">
              <a:solidFill>
                <a:schemeClr val="lt1"/>
              </a:solidFill>
              <a:effectLst/>
              <a:latin typeface="+mn-lt"/>
              <a:ea typeface="+mn-ea"/>
              <a:cs typeface="+mn-cs"/>
            </a:rPr>
            <a:t> storlek i kilogram, endast en siffra, t.ex. 3, ifall det är fråga om en 3 kg koppa</a:t>
          </a:r>
          <a:endParaRPr lang="fi-FI">
            <a:effectLst/>
          </a:endParaRPr>
        </a:p>
      </xdr:txBody>
    </xdr:sp>
    <xdr:clientData/>
  </xdr:twoCellAnchor>
  <xdr:twoCellAnchor>
    <xdr:from>
      <xdr:col>10</xdr:col>
      <xdr:colOff>546100</xdr:colOff>
      <xdr:row>218</xdr:row>
      <xdr:rowOff>38100</xdr:rowOff>
    </xdr:from>
    <xdr:to>
      <xdr:col>12</xdr:col>
      <xdr:colOff>457200</xdr:colOff>
      <xdr:row>225</xdr:row>
      <xdr:rowOff>107674</xdr:rowOff>
    </xdr:to>
    <xdr:sp macro="" textlink="">
      <xdr:nvSpPr>
        <xdr:cNvPr id="10" name="Kuvatekstinuoli vasemmalle 9">
          <a:extLst>
            <a:ext uri="{FF2B5EF4-FFF2-40B4-BE49-F238E27FC236}">
              <a16:creationId xmlns:a16="http://schemas.microsoft.com/office/drawing/2014/main" id="{F54BD756-1F7E-F24E-8624-F31075932559}"/>
            </a:ext>
          </a:extLst>
        </xdr:cNvPr>
        <xdr:cNvSpPr/>
      </xdr:nvSpPr>
      <xdr:spPr>
        <a:xfrm>
          <a:off x="8861839" y="49775165"/>
          <a:ext cx="1948622" cy="1287118"/>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Förpackningarnas antal är länkade till skördemängden och storleken på försäljningsförpackningarna.</a:t>
          </a:r>
          <a:endParaRPr lang="fi-FI">
            <a:effectLst/>
          </a:endParaRPr>
        </a:p>
      </xdr:txBody>
    </xdr:sp>
    <xdr:clientData/>
  </xdr:twoCellAnchor>
  <xdr:twoCellAnchor>
    <xdr:from>
      <xdr:col>11</xdr:col>
      <xdr:colOff>571500</xdr:colOff>
      <xdr:row>14</xdr:row>
      <xdr:rowOff>63500</xdr:rowOff>
    </xdr:from>
    <xdr:to>
      <xdr:col>12</xdr:col>
      <xdr:colOff>787400</xdr:colOff>
      <xdr:row>21</xdr:row>
      <xdr:rowOff>12700</xdr:rowOff>
    </xdr:to>
    <xdr:sp macro="" textlink="">
      <xdr:nvSpPr>
        <xdr:cNvPr id="11" name="Kuvatekstinuoli vasemmalle 10">
          <a:extLst>
            <a:ext uri="{FF2B5EF4-FFF2-40B4-BE49-F238E27FC236}">
              <a16:creationId xmlns:a16="http://schemas.microsoft.com/office/drawing/2014/main" id="{B08470F3-E15F-0149-9699-3068B1A756B4}"/>
            </a:ext>
          </a:extLst>
        </xdr:cNvPr>
        <xdr:cNvSpPr/>
      </xdr:nvSpPr>
      <xdr:spPr>
        <a:xfrm>
          <a:off x="10566400" y="5549900"/>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Etablerings- och röjningsårets kostnader fördelas på skördeåren</a:t>
          </a:r>
          <a:endParaRPr lang="fi-FI">
            <a:effectLst/>
          </a:endParaRPr>
        </a:p>
      </xdr:txBody>
    </xdr:sp>
    <xdr:clientData/>
  </xdr:twoCellAnchor>
  <xdr:twoCellAnchor>
    <xdr:from>
      <xdr:col>11</xdr:col>
      <xdr:colOff>444500</xdr:colOff>
      <xdr:row>86</xdr:row>
      <xdr:rowOff>88900</xdr:rowOff>
    </xdr:from>
    <xdr:to>
      <xdr:col>12</xdr:col>
      <xdr:colOff>774700</xdr:colOff>
      <xdr:row>94</xdr:row>
      <xdr:rowOff>101600</xdr:rowOff>
    </xdr:to>
    <xdr:sp macro="" textlink="">
      <xdr:nvSpPr>
        <xdr:cNvPr id="12" name="Kuvatekstinuoli vasemmalle 11">
          <a:extLst>
            <a:ext uri="{FF2B5EF4-FFF2-40B4-BE49-F238E27FC236}">
              <a16:creationId xmlns:a16="http://schemas.microsoft.com/office/drawing/2014/main" id="{297D71AC-22C5-B847-B643-FC1208ADBCD7}"/>
            </a:ext>
          </a:extLst>
        </xdr:cNvPr>
        <xdr:cNvSpPr/>
      </xdr:nvSpPr>
      <xdr:spPr>
        <a:xfrm>
          <a:off x="10439400" y="19761200"/>
          <a:ext cx="1854200" cy="17399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Etablerings- och röjningsårets kostnader fördelas på skördeåren</a:t>
          </a:r>
          <a:endParaRPr lang="fi-FI">
            <a:effectLst/>
          </a:endParaRPr>
        </a:p>
        <a:p>
          <a:pPr algn="l"/>
          <a:endParaRPr lang="fi-FI" sz="1100" baseline="0"/>
        </a:p>
        <a:p>
          <a:pPr algn="l"/>
          <a:endParaRPr lang="fi-FI"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13</xdr:col>
      <xdr:colOff>258883</xdr:colOff>
      <xdr:row>21</xdr:row>
      <xdr:rowOff>25399</xdr:rowOff>
    </xdr:from>
    <xdr:to>
      <xdr:col>22</xdr:col>
      <xdr:colOff>410307</xdr:colOff>
      <xdr:row>49</xdr:row>
      <xdr:rowOff>195384</xdr:rowOff>
    </xdr:to>
    <xdr:graphicFrame macro="">
      <xdr:nvGraphicFramePr>
        <xdr:cNvPr id="6" name="Kaavio 5">
          <a:extLst>
            <a:ext uri="{FF2B5EF4-FFF2-40B4-BE49-F238E27FC236}">
              <a16:creationId xmlns:a16="http://schemas.microsoft.com/office/drawing/2014/main" id="{C7F05828-8627-024B-9C42-4147A9210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304800</xdr:colOff>
      <xdr:row>161</xdr:row>
      <xdr:rowOff>12700</xdr:rowOff>
    </xdr:from>
    <xdr:to>
      <xdr:col>16</xdr:col>
      <xdr:colOff>196850</xdr:colOff>
      <xdr:row>172</xdr:row>
      <xdr:rowOff>42333</xdr:rowOff>
    </xdr:to>
    <xdr:sp macro="" textlink="">
      <xdr:nvSpPr>
        <xdr:cNvPr id="7" name="Kuvatekstinuoli vasemmalle 6">
          <a:extLst>
            <a:ext uri="{FF2B5EF4-FFF2-40B4-BE49-F238E27FC236}">
              <a16:creationId xmlns:a16="http://schemas.microsoft.com/office/drawing/2014/main" id="{056208BE-14FD-B84A-89F0-410776864D85}"/>
            </a:ext>
          </a:extLst>
        </xdr:cNvPr>
        <xdr:cNvSpPr/>
      </xdr:nvSpPr>
      <xdr:spPr>
        <a:xfrm>
          <a:off x="11722100" y="36233100"/>
          <a:ext cx="3295650" cy="2074333"/>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b="0" i="0">
              <a:solidFill>
                <a:schemeClr val="lt1"/>
              </a:solidFill>
              <a:effectLst/>
              <a:latin typeface="+mn-lt"/>
              <a:ea typeface="+mn-ea"/>
              <a:cs typeface="+mn-cs"/>
            </a:rPr>
            <a:t>Skördekostnaden kan anges som €/kg eller €/ha. Om ackordspris används (€/kg), kom ihåg att fylla i den skördade mängden i kilogram i  tabellen.</a:t>
          </a:r>
          <a:endParaRPr lang="fi-FI">
            <a:effectLst/>
          </a:endParaRPr>
        </a:p>
      </xdr:txBody>
    </xdr:sp>
    <xdr:clientData/>
  </xdr:twoCellAnchor>
  <xdr:twoCellAnchor>
    <xdr:from>
      <xdr:col>3</xdr:col>
      <xdr:colOff>631151</xdr:colOff>
      <xdr:row>151</xdr:row>
      <xdr:rowOff>127000</xdr:rowOff>
    </xdr:from>
    <xdr:to>
      <xdr:col>4</xdr:col>
      <xdr:colOff>784270</xdr:colOff>
      <xdr:row>159</xdr:row>
      <xdr:rowOff>15394</xdr:rowOff>
    </xdr:to>
    <xdr:sp macro="" textlink="">
      <xdr:nvSpPr>
        <xdr:cNvPr id="8" name="Kuvatekstinuoli ylös 7">
          <a:extLst>
            <a:ext uri="{FF2B5EF4-FFF2-40B4-BE49-F238E27FC236}">
              <a16:creationId xmlns:a16="http://schemas.microsoft.com/office/drawing/2014/main" id="{1B62A857-9E6A-6648-A298-91D56AD3450E}"/>
            </a:ext>
          </a:extLst>
        </xdr:cNvPr>
        <xdr:cNvSpPr/>
      </xdr:nvSpPr>
      <xdr:spPr>
        <a:xfrm>
          <a:off x="2932545" y="34848030"/>
          <a:ext cx="1707907" cy="1304637"/>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fi-FI">
            <a:effectLst/>
          </a:endParaRPr>
        </a:p>
      </xdr:txBody>
    </xdr:sp>
    <xdr:clientData/>
  </xdr:twoCellAnchor>
  <xdr:twoCellAnchor>
    <xdr:from>
      <xdr:col>10</xdr:col>
      <xdr:colOff>698500</xdr:colOff>
      <xdr:row>120</xdr:row>
      <xdr:rowOff>50800</xdr:rowOff>
    </xdr:from>
    <xdr:to>
      <xdr:col>12</xdr:col>
      <xdr:colOff>609600</xdr:colOff>
      <xdr:row>126</xdr:row>
      <xdr:rowOff>101600</xdr:rowOff>
    </xdr:to>
    <xdr:sp macro="" textlink="">
      <xdr:nvSpPr>
        <xdr:cNvPr id="2" name="Kuvatekstinuoli vasemmalle 1">
          <a:extLst>
            <a:ext uri="{FF2B5EF4-FFF2-40B4-BE49-F238E27FC236}">
              <a16:creationId xmlns:a16="http://schemas.microsoft.com/office/drawing/2014/main" id="{8A6BE443-2181-EC45-8978-7C0BDEFBA135}"/>
            </a:ext>
          </a:extLst>
        </xdr:cNvPr>
        <xdr:cNvSpPr/>
      </xdr:nvSpPr>
      <xdr:spPr>
        <a:xfrm>
          <a:off x="9956800" y="28676600"/>
          <a:ext cx="2171700" cy="12954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Pakkausten määrät on linkitetty sadon määrän ja myyntipakkausten kokoon.</a:t>
          </a:r>
        </a:p>
      </xdr:txBody>
    </xdr:sp>
    <xdr:clientData/>
  </xdr:twoCellAnchor>
  <xdr:twoCellAnchor>
    <xdr:from>
      <xdr:col>3</xdr:col>
      <xdr:colOff>88900</xdr:colOff>
      <xdr:row>118</xdr:row>
      <xdr:rowOff>63500</xdr:rowOff>
    </xdr:from>
    <xdr:to>
      <xdr:col>4</xdr:col>
      <xdr:colOff>571500</xdr:colOff>
      <xdr:row>124</xdr:row>
      <xdr:rowOff>50800</xdr:rowOff>
    </xdr:to>
    <xdr:sp macro="" textlink="">
      <xdr:nvSpPr>
        <xdr:cNvPr id="9" name="Kuvatekstinuoli alas 8">
          <a:extLst>
            <a:ext uri="{FF2B5EF4-FFF2-40B4-BE49-F238E27FC236}">
              <a16:creationId xmlns:a16="http://schemas.microsoft.com/office/drawing/2014/main" id="{EE23ED48-7BF2-3042-A5B4-4AE3C4D17602}"/>
            </a:ext>
          </a:extLst>
        </xdr:cNvPr>
        <xdr:cNvSpPr/>
      </xdr:nvSpPr>
      <xdr:spPr>
        <a:xfrm>
          <a:off x="2654300" y="28473400"/>
          <a:ext cx="2209800" cy="10541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Täytä tähän</a:t>
          </a:r>
          <a:r>
            <a:rPr lang="fi-FI" sz="1100" baseline="0"/>
            <a:t> pakkauksen koko kiloissa, vain luku, esim. 2, jos kyseessä on 2 kg </a:t>
          </a:r>
          <a:endParaRPr lang="fi-FI"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498505</xdr:colOff>
      <xdr:row>149</xdr:row>
      <xdr:rowOff>36811</xdr:rowOff>
    </xdr:from>
    <xdr:to>
      <xdr:col>4</xdr:col>
      <xdr:colOff>754637</xdr:colOff>
      <xdr:row>154</xdr:row>
      <xdr:rowOff>147246</xdr:rowOff>
    </xdr:to>
    <xdr:sp macro="" textlink="">
      <xdr:nvSpPr>
        <xdr:cNvPr id="4" name="Kuvatekstinuoli ylös 3">
          <a:extLst>
            <a:ext uri="{FF2B5EF4-FFF2-40B4-BE49-F238E27FC236}">
              <a16:creationId xmlns:a16="http://schemas.microsoft.com/office/drawing/2014/main" id="{53D4CBF3-367E-2640-8D0D-7F6C050D6E43}"/>
            </a:ext>
          </a:extLst>
        </xdr:cNvPr>
        <xdr:cNvSpPr/>
      </xdr:nvSpPr>
      <xdr:spPr>
        <a:xfrm>
          <a:off x="2798748" y="36392045"/>
          <a:ext cx="1808618" cy="993500"/>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fi-FI">
            <a:effectLst/>
          </a:endParaRPr>
        </a:p>
      </xdr:txBody>
    </xdr:sp>
    <xdr:clientData/>
  </xdr:twoCellAnchor>
  <xdr:twoCellAnchor>
    <xdr:from>
      <xdr:col>13</xdr:col>
      <xdr:colOff>387350</xdr:colOff>
      <xdr:row>20</xdr:row>
      <xdr:rowOff>44450</xdr:rowOff>
    </xdr:from>
    <xdr:to>
      <xdr:col>23</xdr:col>
      <xdr:colOff>571500</xdr:colOff>
      <xdr:row>53</xdr:row>
      <xdr:rowOff>101600</xdr:rowOff>
    </xdr:to>
    <xdr:graphicFrame macro="">
      <xdr:nvGraphicFramePr>
        <xdr:cNvPr id="6" name="Kaavio 5">
          <a:extLst>
            <a:ext uri="{FF2B5EF4-FFF2-40B4-BE49-F238E27FC236}">
              <a16:creationId xmlns:a16="http://schemas.microsoft.com/office/drawing/2014/main" id="{610607A2-2D88-8E4F-A0A5-C4C05E158D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902056</xdr:colOff>
      <xdr:row>14</xdr:row>
      <xdr:rowOff>35607</xdr:rowOff>
    </xdr:from>
    <xdr:to>
      <xdr:col>13</xdr:col>
      <xdr:colOff>196909</xdr:colOff>
      <xdr:row>20</xdr:row>
      <xdr:rowOff>201538</xdr:rowOff>
    </xdr:to>
    <xdr:sp macro="" textlink="">
      <xdr:nvSpPr>
        <xdr:cNvPr id="11" name="Kuvatekstinuoli vasemmalle 10">
          <a:extLst>
            <a:ext uri="{FF2B5EF4-FFF2-40B4-BE49-F238E27FC236}">
              <a16:creationId xmlns:a16="http://schemas.microsoft.com/office/drawing/2014/main" id="{D65BDB58-06D0-594C-ADB4-5CB058420514}"/>
            </a:ext>
          </a:extLst>
        </xdr:cNvPr>
        <xdr:cNvSpPr/>
      </xdr:nvSpPr>
      <xdr:spPr>
        <a:xfrm>
          <a:off x="10717850" y="5554766"/>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Etablerings- och röjningsårets kostnader fördelas på skördeåren</a:t>
          </a:r>
          <a:endParaRPr lang="fi-FI">
            <a:effectLst/>
          </a:endParaRPr>
        </a:p>
      </xdr:txBody>
    </xdr:sp>
    <xdr:clientData/>
  </xdr:twoCellAnchor>
  <xdr:twoCellAnchor>
    <xdr:from>
      <xdr:col>11</xdr:col>
      <xdr:colOff>937665</xdr:colOff>
      <xdr:row>85</xdr:row>
      <xdr:rowOff>59346</xdr:rowOff>
    </xdr:from>
    <xdr:to>
      <xdr:col>13</xdr:col>
      <xdr:colOff>232518</xdr:colOff>
      <xdr:row>91</xdr:row>
      <xdr:rowOff>201538</xdr:rowOff>
    </xdr:to>
    <xdr:sp macro="" textlink="">
      <xdr:nvSpPr>
        <xdr:cNvPr id="12" name="Kuvatekstinuoli vasemmalle 11">
          <a:extLst>
            <a:ext uri="{FF2B5EF4-FFF2-40B4-BE49-F238E27FC236}">
              <a16:creationId xmlns:a16="http://schemas.microsoft.com/office/drawing/2014/main" id="{E3A7E475-69AD-CE44-964C-4F3D02C1F4BB}"/>
            </a:ext>
          </a:extLst>
        </xdr:cNvPr>
        <xdr:cNvSpPr/>
      </xdr:nvSpPr>
      <xdr:spPr>
        <a:xfrm>
          <a:off x="10753459" y="22254673"/>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Perustamis-, esikasvatus- ja raivausvuosien kustannukset jaetaan satovuosille.</a:t>
          </a:r>
        </a:p>
      </xdr:txBody>
    </xdr:sp>
    <xdr:clientData/>
  </xdr:twoCellAnchor>
  <xdr:twoCellAnchor>
    <xdr:from>
      <xdr:col>3</xdr:col>
      <xdr:colOff>164424</xdr:colOff>
      <xdr:row>288</xdr:row>
      <xdr:rowOff>8106</xdr:rowOff>
    </xdr:from>
    <xdr:to>
      <xdr:col>4</xdr:col>
      <xdr:colOff>768135</xdr:colOff>
      <xdr:row>293</xdr:row>
      <xdr:rowOff>172019</xdr:rowOff>
    </xdr:to>
    <xdr:sp macro="" textlink="">
      <xdr:nvSpPr>
        <xdr:cNvPr id="2" name="Kuvatekstinuoli alas 8">
          <a:extLst>
            <a:ext uri="{FF2B5EF4-FFF2-40B4-BE49-F238E27FC236}">
              <a16:creationId xmlns:a16="http://schemas.microsoft.com/office/drawing/2014/main" id="{07EE57E8-673D-4A71-9AA9-66FF0EE55BC9}"/>
            </a:ext>
          </a:extLst>
        </xdr:cNvPr>
        <xdr:cNvSpPr/>
      </xdr:nvSpPr>
      <xdr:spPr>
        <a:xfrm>
          <a:off x="2466637" y="66431808"/>
          <a:ext cx="2160136" cy="1055615"/>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3, ifall det är fråga om en 3 kg påse</a:t>
          </a:r>
          <a:endParaRPr lang="sv-FI">
            <a:effectLst/>
          </a:endParaRPr>
        </a:p>
      </xdr:txBody>
    </xdr:sp>
    <xdr:clientData/>
  </xdr:twoCellAnchor>
  <xdr:twoCellAnchor>
    <xdr:from>
      <xdr:col>10</xdr:col>
      <xdr:colOff>445851</xdr:colOff>
      <xdr:row>289</xdr:row>
      <xdr:rowOff>137808</xdr:rowOff>
    </xdr:from>
    <xdr:to>
      <xdr:col>12</xdr:col>
      <xdr:colOff>364457</xdr:colOff>
      <xdr:row>296</xdr:row>
      <xdr:rowOff>135686</xdr:rowOff>
    </xdr:to>
    <xdr:sp macro="" textlink="">
      <xdr:nvSpPr>
        <xdr:cNvPr id="3" name="Kuvatekstinuoli vasemmalle 9">
          <a:extLst>
            <a:ext uri="{FF2B5EF4-FFF2-40B4-BE49-F238E27FC236}">
              <a16:creationId xmlns:a16="http://schemas.microsoft.com/office/drawing/2014/main" id="{8F4D7BB4-DFD4-4792-B60B-8E9988ECA644}"/>
            </a:ext>
          </a:extLst>
        </xdr:cNvPr>
        <xdr:cNvSpPr/>
      </xdr:nvSpPr>
      <xdr:spPr>
        <a:xfrm>
          <a:off x="8592766" y="66739851"/>
          <a:ext cx="1953308" cy="1246261"/>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 är länkade till skördemängden och storleken på försäljningsförpackningarna.</a:t>
          </a:r>
          <a:endParaRPr lang="sv-FI">
            <a:effectLst/>
          </a:endParaRPr>
        </a:p>
      </xdr:txBody>
    </xdr:sp>
    <xdr:clientData/>
  </xdr:twoCellAnchor>
  <xdr:twoCellAnchor>
    <xdr:from>
      <xdr:col>12</xdr:col>
      <xdr:colOff>372893</xdr:colOff>
      <xdr:row>334</xdr:row>
      <xdr:rowOff>81065</xdr:rowOff>
    </xdr:from>
    <xdr:to>
      <xdr:col>16</xdr:col>
      <xdr:colOff>248588</xdr:colOff>
      <xdr:row>343</xdr:row>
      <xdr:rowOff>69061</xdr:rowOff>
    </xdr:to>
    <xdr:sp macro="" textlink="">
      <xdr:nvSpPr>
        <xdr:cNvPr id="5" name="Kuvatekstinuoli vasemmalle 7">
          <a:extLst>
            <a:ext uri="{FF2B5EF4-FFF2-40B4-BE49-F238E27FC236}">
              <a16:creationId xmlns:a16="http://schemas.microsoft.com/office/drawing/2014/main" id="{B290DAB7-293A-4F18-8678-7BE2C413FB70}"/>
            </a:ext>
          </a:extLst>
        </xdr:cNvPr>
        <xdr:cNvSpPr/>
      </xdr:nvSpPr>
      <xdr:spPr>
        <a:xfrm>
          <a:off x="10554510" y="76070299"/>
          <a:ext cx="3061504" cy="159306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Skördekostnaderna kan endera vara </a:t>
          </a:r>
          <a:r>
            <a:rPr lang="fi-FI" sz="1100" baseline="0">
              <a:solidFill>
                <a:schemeClr val="lt1"/>
              </a:solidFill>
              <a:effectLst/>
              <a:latin typeface="+mn-lt"/>
              <a:ea typeface="+mn-ea"/>
              <a:cs typeface="+mn-cs"/>
            </a:rPr>
            <a:t>€/kg eller €/ha.</a:t>
          </a:r>
          <a:endParaRPr lang="sv-FI">
            <a:effectLst/>
          </a:endParaRPr>
        </a:p>
        <a:p>
          <a:r>
            <a:rPr lang="fi-FI" sz="1100" baseline="0">
              <a:solidFill>
                <a:schemeClr val="lt1"/>
              </a:solidFill>
              <a:effectLst/>
              <a:latin typeface="+mn-lt"/>
              <a:ea typeface="+mn-ea"/>
              <a:cs typeface="+mn-cs"/>
            </a:rPr>
            <a:t>Ifall man använder sig av accordlön, €/kg, bör man fylla i plockade kilogram i tabellen bredvid.</a:t>
          </a:r>
          <a:endParaRPr lang="sv-FI">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13</xdr:col>
      <xdr:colOff>686535</xdr:colOff>
      <xdr:row>20</xdr:row>
      <xdr:rowOff>45646</xdr:rowOff>
    </xdr:from>
    <xdr:to>
      <xdr:col>23</xdr:col>
      <xdr:colOff>616594</xdr:colOff>
      <xdr:row>56</xdr:row>
      <xdr:rowOff>18406</xdr:rowOff>
    </xdr:to>
    <xdr:graphicFrame macro="">
      <xdr:nvGraphicFramePr>
        <xdr:cNvPr id="5" name="Kaavio 4">
          <a:extLst>
            <a:ext uri="{FF2B5EF4-FFF2-40B4-BE49-F238E27FC236}">
              <a16:creationId xmlns:a16="http://schemas.microsoft.com/office/drawing/2014/main" id="{78FAA993-8323-9B46-9572-6C7E1C2E23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533400</xdr:colOff>
      <xdr:row>322</xdr:row>
      <xdr:rowOff>165100</xdr:rowOff>
    </xdr:from>
    <xdr:to>
      <xdr:col>12</xdr:col>
      <xdr:colOff>444500</xdr:colOff>
      <xdr:row>329</xdr:row>
      <xdr:rowOff>38100</xdr:rowOff>
    </xdr:to>
    <xdr:sp macro="" textlink="">
      <xdr:nvSpPr>
        <xdr:cNvPr id="9" name="Kuvatekstinuoli vasemmalle 8">
          <a:extLst>
            <a:ext uri="{FF2B5EF4-FFF2-40B4-BE49-F238E27FC236}">
              <a16:creationId xmlns:a16="http://schemas.microsoft.com/office/drawing/2014/main" id="{70D51C84-F71E-8D43-AEE6-63B8906DF8E1}"/>
            </a:ext>
          </a:extLst>
        </xdr:cNvPr>
        <xdr:cNvSpPr/>
      </xdr:nvSpPr>
      <xdr:spPr>
        <a:xfrm>
          <a:off x="9601200" y="67830700"/>
          <a:ext cx="2171700" cy="11176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Pakkausten määrät on linkitetty sadon määrän ja myyntipakkausten kokoon.</a:t>
          </a:r>
        </a:p>
      </xdr:txBody>
    </xdr:sp>
    <xdr:clientData/>
  </xdr:twoCellAnchor>
  <xdr:twoCellAnchor>
    <xdr:from>
      <xdr:col>11</xdr:col>
      <xdr:colOff>919596</xdr:colOff>
      <xdr:row>13</xdr:row>
      <xdr:rowOff>207240</xdr:rowOff>
    </xdr:from>
    <xdr:to>
      <xdr:col>13</xdr:col>
      <xdr:colOff>208396</xdr:colOff>
      <xdr:row>20</xdr:row>
      <xdr:rowOff>118340</xdr:rowOff>
    </xdr:to>
    <xdr:sp macro="" textlink="">
      <xdr:nvSpPr>
        <xdr:cNvPr id="13" name="Kuvatekstinuoli vasemmalle 12">
          <a:extLst>
            <a:ext uri="{FF2B5EF4-FFF2-40B4-BE49-F238E27FC236}">
              <a16:creationId xmlns:a16="http://schemas.microsoft.com/office/drawing/2014/main" id="{C0169AE0-3D03-D345-9683-A68C4AE6BB2C}"/>
            </a:ext>
          </a:extLst>
        </xdr:cNvPr>
        <xdr:cNvSpPr/>
      </xdr:nvSpPr>
      <xdr:spPr>
        <a:xfrm>
          <a:off x="9743210" y="5636490"/>
          <a:ext cx="1488209" cy="1357168"/>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Etablerings- och röjningsårets kostnader fördelas på skördeåren.</a:t>
          </a:r>
          <a:endParaRPr lang="fi-FI">
            <a:effectLst/>
          </a:endParaRPr>
        </a:p>
        <a:p>
          <a:pPr algn="l"/>
          <a:endParaRPr lang="fi-FI" sz="1100"/>
        </a:p>
      </xdr:txBody>
    </xdr:sp>
    <xdr:clientData/>
  </xdr:twoCellAnchor>
  <xdr:twoCellAnchor>
    <xdr:from>
      <xdr:col>11</xdr:col>
      <xdr:colOff>1244600</xdr:colOff>
      <xdr:row>85</xdr:row>
      <xdr:rowOff>190500</xdr:rowOff>
    </xdr:from>
    <xdr:to>
      <xdr:col>13</xdr:col>
      <xdr:colOff>533400</xdr:colOff>
      <xdr:row>92</xdr:row>
      <xdr:rowOff>63500</xdr:rowOff>
    </xdr:to>
    <xdr:sp macro="" textlink="">
      <xdr:nvSpPr>
        <xdr:cNvPr id="14" name="Kuvatekstinuoli vasemmalle 13">
          <a:extLst>
            <a:ext uri="{FF2B5EF4-FFF2-40B4-BE49-F238E27FC236}">
              <a16:creationId xmlns:a16="http://schemas.microsoft.com/office/drawing/2014/main" id="{6C7D10C2-A255-ED40-9A55-179E93A30122}"/>
            </a:ext>
          </a:extLst>
        </xdr:cNvPr>
        <xdr:cNvSpPr/>
      </xdr:nvSpPr>
      <xdr:spPr>
        <a:xfrm>
          <a:off x="11049000" y="22631400"/>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Etablerings- och röjningsårets kostnader fördelas på skördeåren.</a:t>
          </a:r>
          <a:endParaRPr lang="fi-FI">
            <a:effectLst/>
          </a:endParaRPr>
        </a:p>
      </xdr:txBody>
    </xdr:sp>
    <xdr:clientData/>
  </xdr:twoCellAnchor>
  <xdr:twoCellAnchor>
    <xdr:from>
      <xdr:col>3</xdr:col>
      <xdr:colOff>624840</xdr:colOff>
      <xdr:row>152</xdr:row>
      <xdr:rowOff>36811</xdr:rowOff>
    </xdr:from>
    <xdr:to>
      <xdr:col>4</xdr:col>
      <xdr:colOff>754637</xdr:colOff>
      <xdr:row>158</xdr:row>
      <xdr:rowOff>312420</xdr:rowOff>
    </xdr:to>
    <xdr:sp macro="" textlink="">
      <xdr:nvSpPr>
        <xdr:cNvPr id="2" name="Kuvatekstinuoli ylös 3">
          <a:extLst>
            <a:ext uri="{FF2B5EF4-FFF2-40B4-BE49-F238E27FC236}">
              <a16:creationId xmlns:a16="http://schemas.microsoft.com/office/drawing/2014/main" id="{ECAF60E1-2355-4303-9D61-F49F11631E1A}"/>
            </a:ext>
          </a:extLst>
        </xdr:cNvPr>
        <xdr:cNvSpPr/>
      </xdr:nvSpPr>
      <xdr:spPr>
        <a:xfrm>
          <a:off x="2926080" y="36986191"/>
          <a:ext cx="1684277" cy="131192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twoCellAnchor>
    <xdr:from>
      <xdr:col>3</xdr:col>
      <xdr:colOff>6985</xdr:colOff>
      <xdr:row>226</xdr:row>
      <xdr:rowOff>504190</xdr:rowOff>
    </xdr:from>
    <xdr:to>
      <xdr:col>4</xdr:col>
      <xdr:colOff>649605</xdr:colOff>
      <xdr:row>232</xdr:row>
      <xdr:rowOff>148590</xdr:rowOff>
    </xdr:to>
    <xdr:sp macro="" textlink="">
      <xdr:nvSpPr>
        <xdr:cNvPr id="3" name="Kuvatekstinuoli alas 10">
          <a:extLst>
            <a:ext uri="{FF2B5EF4-FFF2-40B4-BE49-F238E27FC236}">
              <a16:creationId xmlns:a16="http://schemas.microsoft.com/office/drawing/2014/main" id="{E2F44100-4CA3-4E96-8F75-15377C3A2F92}"/>
            </a:ext>
          </a:extLst>
        </xdr:cNvPr>
        <xdr:cNvSpPr/>
      </xdr:nvSpPr>
      <xdr:spPr>
        <a:xfrm>
          <a:off x="2302510" y="53682265"/>
          <a:ext cx="2195195" cy="10160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3, ifall det är fråga om en 3 kg koppa</a:t>
          </a:r>
          <a:endParaRPr lang="sv-FI">
            <a:effectLst/>
          </a:endParaRPr>
        </a:p>
      </xdr:txBody>
    </xdr:sp>
    <xdr:clientData/>
  </xdr:twoCellAnchor>
  <xdr:twoCellAnchor>
    <xdr:from>
      <xdr:col>10</xdr:col>
      <xdr:colOff>571500</xdr:colOff>
      <xdr:row>228</xdr:row>
      <xdr:rowOff>19050</xdr:rowOff>
    </xdr:from>
    <xdr:to>
      <xdr:col>12</xdr:col>
      <xdr:colOff>482600</xdr:colOff>
      <xdr:row>236</xdr:row>
      <xdr:rowOff>13970</xdr:rowOff>
    </xdr:to>
    <xdr:sp macro="" textlink="">
      <xdr:nvSpPr>
        <xdr:cNvPr id="6" name="Kuvatekstinuoli vasemmalle 11">
          <a:extLst>
            <a:ext uri="{FF2B5EF4-FFF2-40B4-BE49-F238E27FC236}">
              <a16:creationId xmlns:a16="http://schemas.microsoft.com/office/drawing/2014/main" id="{8A22D196-8BCB-4187-AA3C-EF59534D71C0}"/>
            </a:ext>
          </a:extLst>
        </xdr:cNvPr>
        <xdr:cNvSpPr/>
      </xdr:nvSpPr>
      <xdr:spPr>
        <a:xfrm>
          <a:off x="8696325" y="53882925"/>
          <a:ext cx="1949450" cy="136652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 är länkade till skördemängden och storleken på försäljningsförpackningarna.</a:t>
          </a:r>
          <a:endParaRPr lang="sv-FI">
            <a:effectLst/>
          </a:endParaRPr>
        </a:p>
      </xdr:txBody>
    </xdr:sp>
    <xdr:clientData/>
  </xdr:twoCellAnchor>
  <xdr:twoCellAnchor>
    <xdr:from>
      <xdr:col>12</xdr:col>
      <xdr:colOff>295275</xdr:colOff>
      <xdr:row>275</xdr:row>
      <xdr:rowOff>19050</xdr:rowOff>
    </xdr:from>
    <xdr:to>
      <xdr:col>16</xdr:col>
      <xdr:colOff>183092</xdr:colOff>
      <xdr:row>283</xdr:row>
      <xdr:rowOff>165100</xdr:rowOff>
    </xdr:to>
    <xdr:sp macro="" textlink="">
      <xdr:nvSpPr>
        <xdr:cNvPr id="15" name="Kuvatekstinuoli vasemmalle 9">
          <a:extLst>
            <a:ext uri="{FF2B5EF4-FFF2-40B4-BE49-F238E27FC236}">
              <a16:creationId xmlns:a16="http://schemas.microsoft.com/office/drawing/2014/main" id="{0A7354D2-1AC2-4BC5-8F8A-5D7C6A4B7EE7}"/>
            </a:ext>
          </a:extLst>
        </xdr:cNvPr>
        <xdr:cNvSpPr/>
      </xdr:nvSpPr>
      <xdr:spPr>
        <a:xfrm>
          <a:off x="10458450" y="64141350"/>
          <a:ext cx="3059642" cy="151765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Skördekostnaderna kan endera vara </a:t>
          </a:r>
          <a:r>
            <a:rPr lang="fi-FI" sz="1100" baseline="0">
              <a:solidFill>
                <a:schemeClr val="lt1"/>
              </a:solidFill>
              <a:effectLst/>
              <a:latin typeface="+mn-lt"/>
              <a:ea typeface="+mn-ea"/>
              <a:cs typeface="+mn-cs"/>
            </a:rPr>
            <a:t>€/kg eller €/ha.</a:t>
          </a:r>
          <a:endParaRPr lang="sv-FI">
            <a:effectLst/>
          </a:endParaRPr>
        </a:p>
        <a:p>
          <a:r>
            <a:rPr lang="fi-FI" sz="1100" baseline="0">
              <a:solidFill>
                <a:schemeClr val="lt1"/>
              </a:solidFill>
              <a:effectLst/>
              <a:latin typeface="+mn-lt"/>
              <a:ea typeface="+mn-ea"/>
              <a:cs typeface="+mn-cs"/>
            </a:rPr>
            <a:t>Ifall man använder sig av accordlön, €/kg, bör man fylla i plockade kilogram i tabellen bredvid.</a:t>
          </a:r>
          <a:endParaRPr lang="sv-FI">
            <a:effectLst/>
          </a:endParaRPr>
        </a:p>
        <a:p>
          <a:pPr algn="l"/>
          <a:r>
            <a:rPr lang="fi-FI" sz="1100" baseline="0"/>
            <a:t>.</a:t>
          </a:r>
          <a:endParaRPr lang="fi-FI" sz="1100"/>
        </a:p>
      </xdr:txBody>
    </xdr:sp>
    <xdr:clientData/>
  </xdr:twoCellAnchor>
  <xdr:twoCellAnchor>
    <xdr:from>
      <xdr:col>3</xdr:col>
      <xdr:colOff>184150</xdr:colOff>
      <xdr:row>320</xdr:row>
      <xdr:rowOff>508000</xdr:rowOff>
    </xdr:from>
    <xdr:to>
      <xdr:col>5</xdr:col>
      <xdr:colOff>36195</xdr:colOff>
      <xdr:row>326</xdr:row>
      <xdr:rowOff>152400</xdr:rowOff>
    </xdr:to>
    <xdr:sp macro="" textlink="">
      <xdr:nvSpPr>
        <xdr:cNvPr id="16" name="Kuvatekstinuoli alas 7">
          <a:extLst>
            <a:ext uri="{FF2B5EF4-FFF2-40B4-BE49-F238E27FC236}">
              <a16:creationId xmlns:a16="http://schemas.microsoft.com/office/drawing/2014/main" id="{A9241EF1-9098-41D8-A5CF-6EBA7BD3213E}"/>
            </a:ext>
          </a:extLst>
        </xdr:cNvPr>
        <xdr:cNvSpPr/>
      </xdr:nvSpPr>
      <xdr:spPr>
        <a:xfrm>
          <a:off x="2479675" y="74279125"/>
          <a:ext cx="2233295" cy="10160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3, ifall det är fråga om en 3 kg påse</a:t>
          </a:r>
          <a:endParaRPr lang="sv-FI">
            <a:effectLst/>
          </a:endParaRPr>
        </a:p>
      </xdr:txBody>
    </xdr:sp>
    <xdr:clientData/>
  </xdr:twoCellAnchor>
  <xdr:twoCellAnchor>
    <xdr:from>
      <xdr:col>12</xdr:col>
      <xdr:colOff>447675</xdr:colOff>
      <xdr:row>366</xdr:row>
      <xdr:rowOff>47625</xdr:rowOff>
    </xdr:from>
    <xdr:to>
      <xdr:col>16</xdr:col>
      <xdr:colOff>335492</xdr:colOff>
      <xdr:row>374</xdr:row>
      <xdr:rowOff>165100</xdr:rowOff>
    </xdr:to>
    <xdr:sp macro="" textlink="">
      <xdr:nvSpPr>
        <xdr:cNvPr id="17" name="Kuvatekstinuoli vasemmalle 9">
          <a:extLst>
            <a:ext uri="{FF2B5EF4-FFF2-40B4-BE49-F238E27FC236}">
              <a16:creationId xmlns:a16="http://schemas.microsoft.com/office/drawing/2014/main" id="{A5E5D8D6-505E-4E42-BCAD-007630FA4908}"/>
            </a:ext>
          </a:extLst>
        </xdr:cNvPr>
        <xdr:cNvSpPr/>
      </xdr:nvSpPr>
      <xdr:spPr>
        <a:xfrm>
          <a:off x="10610850" y="83553300"/>
          <a:ext cx="3059642" cy="151765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Skördekostnaderna kan endera vara </a:t>
          </a:r>
          <a:r>
            <a:rPr lang="fi-FI" sz="1100" baseline="0">
              <a:solidFill>
                <a:schemeClr val="lt1"/>
              </a:solidFill>
              <a:effectLst/>
              <a:latin typeface="+mn-lt"/>
              <a:ea typeface="+mn-ea"/>
              <a:cs typeface="+mn-cs"/>
            </a:rPr>
            <a:t>€/kg eller €/ha.</a:t>
          </a:r>
          <a:endParaRPr lang="sv-FI">
            <a:effectLst/>
          </a:endParaRPr>
        </a:p>
        <a:p>
          <a:r>
            <a:rPr lang="fi-FI" sz="1100" baseline="0">
              <a:solidFill>
                <a:schemeClr val="lt1"/>
              </a:solidFill>
              <a:effectLst/>
              <a:latin typeface="+mn-lt"/>
              <a:ea typeface="+mn-ea"/>
              <a:cs typeface="+mn-cs"/>
            </a:rPr>
            <a:t>Ifall man använder sig av accordlön, €/kg, bör man fylla i plockade kilogram i tabellen bredvid.</a:t>
          </a:r>
          <a:endParaRPr lang="sv-FI">
            <a:effectLst/>
          </a:endParaRPr>
        </a:p>
        <a:p>
          <a:pPr algn="l"/>
          <a:r>
            <a:rPr lang="fi-FI" sz="1100" baseline="0"/>
            <a:t>.</a:t>
          </a:r>
          <a:endParaRPr lang="fi-FI"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13</xdr:col>
      <xdr:colOff>433917</xdr:colOff>
      <xdr:row>21</xdr:row>
      <xdr:rowOff>21167</xdr:rowOff>
    </xdr:from>
    <xdr:to>
      <xdr:col>22</xdr:col>
      <xdr:colOff>793750</xdr:colOff>
      <xdr:row>55</xdr:row>
      <xdr:rowOff>21166</xdr:rowOff>
    </xdr:to>
    <xdr:graphicFrame macro="">
      <xdr:nvGraphicFramePr>
        <xdr:cNvPr id="11" name="Kaavio 10">
          <a:extLst>
            <a:ext uri="{FF2B5EF4-FFF2-40B4-BE49-F238E27FC236}">
              <a16:creationId xmlns:a16="http://schemas.microsoft.com/office/drawing/2014/main" id="{AC219370-0A85-6140-8191-5E0A71ADBC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12700</xdr:colOff>
      <xdr:row>231</xdr:row>
      <xdr:rowOff>50800</xdr:rowOff>
    </xdr:from>
    <xdr:to>
      <xdr:col>4</xdr:col>
      <xdr:colOff>495300</xdr:colOff>
      <xdr:row>237</xdr:row>
      <xdr:rowOff>38100</xdr:rowOff>
    </xdr:to>
    <xdr:sp macro="" textlink="">
      <xdr:nvSpPr>
        <xdr:cNvPr id="12" name="Kuvatekstinuoli alas 11">
          <a:extLst>
            <a:ext uri="{FF2B5EF4-FFF2-40B4-BE49-F238E27FC236}">
              <a16:creationId xmlns:a16="http://schemas.microsoft.com/office/drawing/2014/main" id="{7D1F960B-E9A9-144C-B944-60156F2DCC78}"/>
            </a:ext>
          </a:extLst>
        </xdr:cNvPr>
        <xdr:cNvSpPr/>
      </xdr:nvSpPr>
      <xdr:spPr>
        <a:xfrm>
          <a:off x="2578100" y="77787500"/>
          <a:ext cx="2209800" cy="10541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Täytä tähän</a:t>
          </a:r>
          <a:r>
            <a:rPr lang="fi-FI" sz="1100" baseline="0"/>
            <a:t> pakkauksen koko kiloissa, vain luku, esim. 2, jos kyseessä on 2 kg </a:t>
          </a:r>
          <a:endParaRPr lang="fi-FI" sz="1100"/>
        </a:p>
      </xdr:txBody>
    </xdr:sp>
    <xdr:clientData/>
  </xdr:twoCellAnchor>
  <xdr:twoCellAnchor>
    <xdr:from>
      <xdr:col>11</xdr:col>
      <xdr:colOff>0</xdr:colOff>
      <xdr:row>233</xdr:row>
      <xdr:rowOff>0</xdr:rowOff>
    </xdr:from>
    <xdr:to>
      <xdr:col>12</xdr:col>
      <xdr:colOff>647700</xdr:colOff>
      <xdr:row>239</xdr:row>
      <xdr:rowOff>50800</xdr:rowOff>
    </xdr:to>
    <xdr:sp macro="" textlink="">
      <xdr:nvSpPr>
        <xdr:cNvPr id="13" name="Kuvatekstinuoli vasemmalle 12">
          <a:extLst>
            <a:ext uri="{FF2B5EF4-FFF2-40B4-BE49-F238E27FC236}">
              <a16:creationId xmlns:a16="http://schemas.microsoft.com/office/drawing/2014/main" id="{A22EF41B-4918-2246-90C9-CC6C61AD5C95}"/>
            </a:ext>
          </a:extLst>
        </xdr:cNvPr>
        <xdr:cNvSpPr/>
      </xdr:nvSpPr>
      <xdr:spPr>
        <a:xfrm>
          <a:off x="9804400" y="78092300"/>
          <a:ext cx="2171700" cy="11176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 är länkade till skördemängden och storleken på försäljningsförpackningarna.</a:t>
          </a:r>
          <a:endParaRPr lang="sv-FI">
            <a:effectLst/>
          </a:endParaRPr>
        </a:p>
      </xdr:txBody>
    </xdr:sp>
    <xdr:clientData/>
  </xdr:twoCellAnchor>
  <xdr:twoCellAnchor>
    <xdr:from>
      <xdr:col>11</xdr:col>
      <xdr:colOff>584200</xdr:colOff>
      <xdr:row>14</xdr:row>
      <xdr:rowOff>76200</xdr:rowOff>
    </xdr:from>
    <xdr:to>
      <xdr:col>12</xdr:col>
      <xdr:colOff>800100</xdr:colOff>
      <xdr:row>21</xdr:row>
      <xdr:rowOff>25400</xdr:rowOff>
    </xdr:to>
    <xdr:sp macro="" textlink="">
      <xdr:nvSpPr>
        <xdr:cNvPr id="14" name="Kuvatekstinuoli vasemmalle 13">
          <a:extLst>
            <a:ext uri="{FF2B5EF4-FFF2-40B4-BE49-F238E27FC236}">
              <a16:creationId xmlns:a16="http://schemas.microsoft.com/office/drawing/2014/main" id="{C599F780-3391-204C-8828-8F41C8A52B9C}"/>
            </a:ext>
          </a:extLst>
        </xdr:cNvPr>
        <xdr:cNvSpPr/>
      </xdr:nvSpPr>
      <xdr:spPr>
        <a:xfrm>
          <a:off x="10388600" y="5588000"/>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i-FI" sz="1100"/>
            <a:t>Perustamis-, esikasvatus- ja raivausvuosien kustannukset jaetaan satovuosille.</a:t>
          </a:r>
        </a:p>
      </xdr:txBody>
    </xdr:sp>
    <xdr:clientData/>
  </xdr:twoCellAnchor>
  <xdr:twoCellAnchor>
    <xdr:from>
      <xdr:col>11</xdr:col>
      <xdr:colOff>533400</xdr:colOff>
      <xdr:row>87</xdr:row>
      <xdr:rowOff>25400</xdr:rowOff>
    </xdr:from>
    <xdr:to>
      <xdr:col>12</xdr:col>
      <xdr:colOff>749300</xdr:colOff>
      <xdr:row>93</xdr:row>
      <xdr:rowOff>152400</xdr:rowOff>
    </xdr:to>
    <xdr:sp macro="" textlink="">
      <xdr:nvSpPr>
        <xdr:cNvPr id="15" name="Kuvatekstinuoli vasemmalle 14">
          <a:extLst>
            <a:ext uri="{FF2B5EF4-FFF2-40B4-BE49-F238E27FC236}">
              <a16:creationId xmlns:a16="http://schemas.microsoft.com/office/drawing/2014/main" id="{3F364262-A27B-5547-ABBC-9F2CCF3276EF}"/>
            </a:ext>
          </a:extLst>
        </xdr:cNvPr>
        <xdr:cNvSpPr/>
      </xdr:nvSpPr>
      <xdr:spPr>
        <a:xfrm>
          <a:off x="10337800" y="22809200"/>
          <a:ext cx="1739900" cy="1447800"/>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fi-FI" sz="1100">
              <a:solidFill>
                <a:schemeClr val="lt1"/>
              </a:solidFill>
              <a:effectLst/>
              <a:latin typeface="+mn-lt"/>
              <a:ea typeface="+mn-ea"/>
              <a:cs typeface="+mn-cs"/>
            </a:rPr>
            <a:t>Etablerings- och röjningsårets kostnader fördelas på skördeåren.</a:t>
          </a:r>
          <a:endParaRPr lang="fi-FI">
            <a:effectLst/>
          </a:endParaRPr>
        </a:p>
        <a:p>
          <a:r>
            <a:rPr lang="fi-FI" sz="1100">
              <a:solidFill>
                <a:schemeClr val="lt1"/>
              </a:solidFill>
              <a:effectLst/>
              <a:latin typeface="+mn-lt"/>
              <a:ea typeface="+mn-ea"/>
              <a:cs typeface="+mn-cs"/>
            </a:rPr>
            <a:t>.</a:t>
          </a:r>
          <a:endParaRPr lang="fi-FI">
            <a:effectLst/>
          </a:endParaRPr>
        </a:p>
      </xdr:txBody>
    </xdr:sp>
    <xdr:clientData/>
  </xdr:twoCellAnchor>
  <xdr:twoCellAnchor>
    <xdr:from>
      <xdr:col>3</xdr:col>
      <xdr:colOff>504825</xdr:colOff>
      <xdr:row>154</xdr:row>
      <xdr:rowOff>78085</xdr:rowOff>
    </xdr:from>
    <xdr:to>
      <xdr:col>5</xdr:col>
      <xdr:colOff>11687</xdr:colOff>
      <xdr:row>160</xdr:row>
      <xdr:rowOff>188594</xdr:rowOff>
    </xdr:to>
    <xdr:sp macro="" textlink="">
      <xdr:nvSpPr>
        <xdr:cNvPr id="2" name="Kuvatekstinuoli ylös 3">
          <a:extLst>
            <a:ext uri="{FF2B5EF4-FFF2-40B4-BE49-F238E27FC236}">
              <a16:creationId xmlns:a16="http://schemas.microsoft.com/office/drawing/2014/main" id="{7D0A645F-BCE2-49C2-A894-CE2C0F55643B}"/>
            </a:ext>
          </a:extLst>
        </xdr:cNvPr>
        <xdr:cNvSpPr/>
      </xdr:nvSpPr>
      <xdr:spPr>
        <a:xfrm>
          <a:off x="2800350" y="37177960"/>
          <a:ext cx="1888112" cy="113920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twoCellAnchor>
    <xdr:from>
      <xdr:col>3</xdr:col>
      <xdr:colOff>12700</xdr:colOff>
      <xdr:row>231</xdr:row>
      <xdr:rowOff>50800</xdr:rowOff>
    </xdr:from>
    <xdr:to>
      <xdr:col>4</xdr:col>
      <xdr:colOff>495300</xdr:colOff>
      <xdr:row>237</xdr:row>
      <xdr:rowOff>38100</xdr:rowOff>
    </xdr:to>
    <xdr:sp macro="" textlink="">
      <xdr:nvSpPr>
        <xdr:cNvPr id="3" name="Kuvatekstinuoli alas 11">
          <a:extLst>
            <a:ext uri="{FF2B5EF4-FFF2-40B4-BE49-F238E27FC236}">
              <a16:creationId xmlns:a16="http://schemas.microsoft.com/office/drawing/2014/main" id="{EFB76D00-D23B-42F9-BBCE-9A41D1BB5C43}"/>
            </a:ext>
          </a:extLst>
        </xdr:cNvPr>
        <xdr:cNvSpPr/>
      </xdr:nvSpPr>
      <xdr:spPr>
        <a:xfrm>
          <a:off x="2313940" y="54457600"/>
          <a:ext cx="2037080" cy="103886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3, ifall det är fråga om en 3 kg påse</a:t>
          </a:r>
          <a:endParaRPr lang="sv-FI">
            <a:effectLst/>
          </a:endParaRPr>
        </a:p>
      </xdr:txBody>
    </xdr:sp>
    <xdr:clientData/>
  </xdr:twoCellAnchor>
  <xdr:twoCellAnchor>
    <xdr:from>
      <xdr:col>3</xdr:col>
      <xdr:colOff>155575</xdr:colOff>
      <xdr:row>335</xdr:row>
      <xdr:rowOff>22225</xdr:rowOff>
    </xdr:from>
    <xdr:to>
      <xdr:col>4</xdr:col>
      <xdr:colOff>805815</xdr:colOff>
      <xdr:row>341</xdr:row>
      <xdr:rowOff>9525</xdr:rowOff>
    </xdr:to>
    <xdr:sp macro="" textlink="">
      <xdr:nvSpPr>
        <xdr:cNvPr id="5" name="Kuvatekstinuoli alas 6">
          <a:extLst>
            <a:ext uri="{FF2B5EF4-FFF2-40B4-BE49-F238E27FC236}">
              <a16:creationId xmlns:a16="http://schemas.microsoft.com/office/drawing/2014/main" id="{C33FE5A9-A2B9-4862-B268-9321F7C74975}"/>
            </a:ext>
          </a:extLst>
        </xdr:cNvPr>
        <xdr:cNvSpPr/>
      </xdr:nvSpPr>
      <xdr:spPr>
        <a:xfrm>
          <a:off x="2451100" y="76212700"/>
          <a:ext cx="2202815" cy="10160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Fyll</a:t>
          </a:r>
          <a:r>
            <a:rPr lang="fi-FI" sz="1100" baseline="0">
              <a:solidFill>
                <a:schemeClr val="lt1"/>
              </a:solidFill>
              <a:effectLst/>
              <a:latin typeface="+mn-lt"/>
              <a:ea typeface="+mn-ea"/>
              <a:cs typeface="+mn-cs"/>
            </a:rPr>
            <a:t> här förpackningens storlek i kilogram, endast en siffra, t.ex. 3, ifall det är fråga om en 3 kg påse</a:t>
          </a:r>
          <a:endParaRPr lang="sv-FI">
            <a:effectLst/>
          </a:endParaRPr>
        </a:p>
      </xdr:txBody>
    </xdr:sp>
    <xdr:clientData/>
  </xdr:twoCellAnchor>
  <xdr:twoCellAnchor>
    <xdr:from>
      <xdr:col>11</xdr:col>
      <xdr:colOff>38100</xdr:colOff>
      <xdr:row>336</xdr:row>
      <xdr:rowOff>114300</xdr:rowOff>
    </xdr:from>
    <xdr:to>
      <xdr:col>12</xdr:col>
      <xdr:colOff>683986</xdr:colOff>
      <xdr:row>343</xdr:row>
      <xdr:rowOff>85453</xdr:rowOff>
    </xdr:to>
    <xdr:sp macro="" textlink="">
      <xdr:nvSpPr>
        <xdr:cNvPr id="6" name="Kuvatekstinuoli vasemmalle 7">
          <a:extLst>
            <a:ext uri="{FF2B5EF4-FFF2-40B4-BE49-F238E27FC236}">
              <a16:creationId xmlns:a16="http://schemas.microsoft.com/office/drawing/2014/main" id="{905065E7-7CD2-44F2-8DFE-0C47B304A2BB}"/>
            </a:ext>
          </a:extLst>
        </xdr:cNvPr>
        <xdr:cNvSpPr/>
      </xdr:nvSpPr>
      <xdr:spPr>
        <a:xfrm>
          <a:off x="8829675" y="76476225"/>
          <a:ext cx="2017486" cy="1171303"/>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Förpackningarnas antal är länkade till skördemängden och storleken på försäljningsförpackningarna.</a:t>
          </a:r>
          <a:endParaRPr lang="sv-FI">
            <a:effectLst/>
          </a:endParaRPr>
        </a:p>
      </xdr:txBody>
    </xdr:sp>
    <xdr:clientData/>
  </xdr:twoCellAnchor>
  <xdr:twoCellAnchor>
    <xdr:from>
      <xdr:col>12</xdr:col>
      <xdr:colOff>419100</xdr:colOff>
      <xdr:row>381</xdr:row>
      <xdr:rowOff>19050</xdr:rowOff>
    </xdr:from>
    <xdr:to>
      <xdr:col>16</xdr:col>
      <xdr:colOff>337306</xdr:colOff>
      <xdr:row>391</xdr:row>
      <xdr:rowOff>155725</xdr:rowOff>
    </xdr:to>
    <xdr:sp macro="" textlink="">
      <xdr:nvSpPr>
        <xdr:cNvPr id="9" name="Kuvatekstinuoli vasemmalle 9">
          <a:extLst>
            <a:ext uri="{FF2B5EF4-FFF2-40B4-BE49-F238E27FC236}">
              <a16:creationId xmlns:a16="http://schemas.microsoft.com/office/drawing/2014/main" id="{27F0E18B-1417-4FE2-9065-2080B7FBB560}"/>
            </a:ext>
          </a:extLst>
        </xdr:cNvPr>
        <xdr:cNvSpPr/>
      </xdr:nvSpPr>
      <xdr:spPr>
        <a:xfrm>
          <a:off x="10582275" y="85639275"/>
          <a:ext cx="3090031" cy="185117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Skördekostnaderna kan endera vara </a:t>
          </a:r>
          <a:r>
            <a:rPr lang="fi-FI" sz="1100" baseline="0">
              <a:solidFill>
                <a:schemeClr val="lt1"/>
              </a:solidFill>
              <a:effectLst/>
              <a:latin typeface="+mn-lt"/>
              <a:ea typeface="+mn-ea"/>
              <a:cs typeface="+mn-cs"/>
            </a:rPr>
            <a:t>€/kg eller €/ha.</a:t>
          </a:r>
          <a:endParaRPr lang="sv-FI">
            <a:effectLst/>
          </a:endParaRPr>
        </a:p>
        <a:p>
          <a:r>
            <a:rPr lang="fi-FI" sz="1100" baseline="0">
              <a:solidFill>
                <a:schemeClr val="lt1"/>
              </a:solidFill>
              <a:effectLst/>
              <a:latin typeface="+mn-lt"/>
              <a:ea typeface="+mn-ea"/>
              <a:cs typeface="+mn-cs"/>
            </a:rPr>
            <a:t>Ifall man använder sig av accordlön, €/kg, bör man fylla i plockade kilogram i tabellen bredvid.</a:t>
          </a:r>
          <a:endParaRPr lang="sv-FI">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13</xdr:col>
      <xdr:colOff>577850</xdr:colOff>
      <xdr:row>5</xdr:row>
      <xdr:rowOff>0</xdr:rowOff>
    </xdr:from>
    <xdr:to>
      <xdr:col>25</xdr:col>
      <xdr:colOff>292100</xdr:colOff>
      <xdr:row>39</xdr:row>
      <xdr:rowOff>203200</xdr:rowOff>
    </xdr:to>
    <xdr:graphicFrame macro="">
      <xdr:nvGraphicFramePr>
        <xdr:cNvPr id="3" name="Kaavio 2">
          <a:extLst>
            <a:ext uri="{FF2B5EF4-FFF2-40B4-BE49-F238E27FC236}">
              <a16:creationId xmlns:a16="http://schemas.microsoft.com/office/drawing/2014/main" id="{C75135D5-A250-484E-91FF-662C5011D5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622935</xdr:colOff>
      <xdr:row>113</xdr:row>
      <xdr:rowOff>46336</xdr:rowOff>
    </xdr:from>
    <xdr:to>
      <xdr:col>5</xdr:col>
      <xdr:colOff>76200</xdr:colOff>
      <xdr:row>119</xdr:row>
      <xdr:rowOff>47625</xdr:rowOff>
    </xdr:to>
    <xdr:sp macro="" textlink="">
      <xdr:nvSpPr>
        <xdr:cNvPr id="4" name="Kuvatekstinuoli ylös 1">
          <a:extLst>
            <a:ext uri="{FF2B5EF4-FFF2-40B4-BE49-F238E27FC236}">
              <a16:creationId xmlns:a16="http://schemas.microsoft.com/office/drawing/2014/main" id="{62C0EA12-7556-4CEA-A935-8D5EE4F00E5D}"/>
            </a:ext>
          </a:extLst>
        </xdr:cNvPr>
        <xdr:cNvSpPr/>
      </xdr:nvSpPr>
      <xdr:spPr>
        <a:xfrm>
          <a:off x="2918460" y="26344861"/>
          <a:ext cx="1834515" cy="1029989"/>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13</xdr:col>
      <xdr:colOff>520700</xdr:colOff>
      <xdr:row>4</xdr:row>
      <xdr:rowOff>330200</xdr:rowOff>
    </xdr:from>
    <xdr:to>
      <xdr:col>24</xdr:col>
      <xdr:colOff>482600</xdr:colOff>
      <xdr:row>36</xdr:row>
      <xdr:rowOff>101600</xdr:rowOff>
    </xdr:to>
    <xdr:graphicFrame macro="">
      <xdr:nvGraphicFramePr>
        <xdr:cNvPr id="4" name="Kaavio 3">
          <a:extLst>
            <a:ext uri="{FF2B5EF4-FFF2-40B4-BE49-F238E27FC236}">
              <a16:creationId xmlns:a16="http://schemas.microsoft.com/office/drawing/2014/main" id="{C1161033-6CF1-E649-8BF5-BC374B247C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416641</xdr:colOff>
      <xdr:row>113</xdr:row>
      <xdr:rowOff>102442</xdr:rowOff>
    </xdr:from>
    <xdr:to>
      <xdr:col>5</xdr:col>
      <xdr:colOff>218287</xdr:colOff>
      <xdr:row>119</xdr:row>
      <xdr:rowOff>45237</xdr:rowOff>
    </xdr:to>
    <xdr:sp macro="" textlink="">
      <xdr:nvSpPr>
        <xdr:cNvPr id="3" name="Kuvatekstinuoli ylös 1">
          <a:extLst>
            <a:ext uri="{FF2B5EF4-FFF2-40B4-BE49-F238E27FC236}">
              <a16:creationId xmlns:a16="http://schemas.microsoft.com/office/drawing/2014/main" id="{007049F8-5FB2-4747-ADF7-5DA3F946B1B6}"/>
            </a:ext>
          </a:extLst>
        </xdr:cNvPr>
        <xdr:cNvSpPr/>
      </xdr:nvSpPr>
      <xdr:spPr>
        <a:xfrm>
          <a:off x="2727222" y="26575797"/>
          <a:ext cx="2185968" cy="975182"/>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14</xdr:col>
      <xdr:colOff>12700</xdr:colOff>
      <xdr:row>4</xdr:row>
      <xdr:rowOff>330200</xdr:rowOff>
    </xdr:from>
    <xdr:to>
      <xdr:col>25</xdr:col>
      <xdr:colOff>482600</xdr:colOff>
      <xdr:row>36</xdr:row>
      <xdr:rowOff>114300</xdr:rowOff>
    </xdr:to>
    <xdr:graphicFrame macro="">
      <xdr:nvGraphicFramePr>
        <xdr:cNvPr id="6" name="Kaavio 5">
          <a:extLst>
            <a:ext uri="{FF2B5EF4-FFF2-40B4-BE49-F238E27FC236}">
              <a16:creationId xmlns:a16="http://schemas.microsoft.com/office/drawing/2014/main" id="{1F691E09-9565-6F43-B023-0E0B9C18D7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588645</xdr:colOff>
      <xdr:row>113</xdr:row>
      <xdr:rowOff>55861</xdr:rowOff>
    </xdr:from>
    <xdr:to>
      <xdr:col>5</xdr:col>
      <xdr:colOff>87887</xdr:colOff>
      <xdr:row>118</xdr:row>
      <xdr:rowOff>166296</xdr:rowOff>
    </xdr:to>
    <xdr:sp macro="" textlink="">
      <xdr:nvSpPr>
        <xdr:cNvPr id="3" name="Kuvatekstinuoli ylös 1">
          <a:extLst>
            <a:ext uri="{FF2B5EF4-FFF2-40B4-BE49-F238E27FC236}">
              <a16:creationId xmlns:a16="http://schemas.microsoft.com/office/drawing/2014/main" id="{74D6D73A-2B87-476E-8419-DEFBDC0D5D73}"/>
            </a:ext>
          </a:extLst>
        </xdr:cNvPr>
        <xdr:cNvSpPr/>
      </xdr:nvSpPr>
      <xdr:spPr>
        <a:xfrm>
          <a:off x="2884170" y="26535361"/>
          <a:ext cx="1880492" cy="967685"/>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14</xdr:col>
      <xdr:colOff>12700</xdr:colOff>
      <xdr:row>4</xdr:row>
      <xdr:rowOff>330200</xdr:rowOff>
    </xdr:from>
    <xdr:to>
      <xdr:col>25</xdr:col>
      <xdr:colOff>482600</xdr:colOff>
      <xdr:row>36</xdr:row>
      <xdr:rowOff>114300</xdr:rowOff>
    </xdr:to>
    <xdr:graphicFrame macro="">
      <xdr:nvGraphicFramePr>
        <xdr:cNvPr id="3" name="Kaavio 2">
          <a:extLst>
            <a:ext uri="{FF2B5EF4-FFF2-40B4-BE49-F238E27FC236}">
              <a16:creationId xmlns:a16="http://schemas.microsoft.com/office/drawing/2014/main" id="{5AC21215-68BD-2940-9735-89B06C2C13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652025</xdr:colOff>
      <xdr:row>113</xdr:row>
      <xdr:rowOff>41754</xdr:rowOff>
    </xdr:from>
    <xdr:to>
      <xdr:col>5</xdr:col>
      <xdr:colOff>77280</xdr:colOff>
      <xdr:row>118</xdr:row>
      <xdr:rowOff>152189</xdr:rowOff>
    </xdr:to>
    <xdr:sp macro="" textlink="">
      <xdr:nvSpPr>
        <xdr:cNvPr id="4" name="Kuvatekstinuoli ylös 1">
          <a:extLst>
            <a:ext uri="{FF2B5EF4-FFF2-40B4-BE49-F238E27FC236}">
              <a16:creationId xmlns:a16="http://schemas.microsoft.com/office/drawing/2014/main" id="{295CA215-DF47-45EC-8AB1-A099991B30AD}"/>
            </a:ext>
          </a:extLst>
        </xdr:cNvPr>
        <xdr:cNvSpPr/>
      </xdr:nvSpPr>
      <xdr:spPr>
        <a:xfrm>
          <a:off x="2958620" y="26526403"/>
          <a:ext cx="1814228" cy="975408"/>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13</xdr:col>
      <xdr:colOff>673100</xdr:colOff>
      <xdr:row>19</xdr:row>
      <xdr:rowOff>171450</xdr:rowOff>
    </xdr:from>
    <xdr:to>
      <xdr:col>26</xdr:col>
      <xdr:colOff>254000</xdr:colOff>
      <xdr:row>50</xdr:row>
      <xdr:rowOff>165100</xdr:rowOff>
    </xdr:to>
    <xdr:graphicFrame macro="">
      <xdr:nvGraphicFramePr>
        <xdr:cNvPr id="4" name="Kaavio 3">
          <a:extLst>
            <a:ext uri="{FF2B5EF4-FFF2-40B4-BE49-F238E27FC236}">
              <a16:creationId xmlns:a16="http://schemas.microsoft.com/office/drawing/2014/main" id="{ED000A9B-C7CD-3641-9E45-B9B7A4D083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556260</xdr:colOff>
      <xdr:row>109</xdr:row>
      <xdr:rowOff>17761</xdr:rowOff>
    </xdr:from>
    <xdr:to>
      <xdr:col>5</xdr:col>
      <xdr:colOff>116462</xdr:colOff>
      <xdr:row>114</xdr:row>
      <xdr:rowOff>128196</xdr:rowOff>
    </xdr:to>
    <xdr:sp macro="" textlink="">
      <xdr:nvSpPr>
        <xdr:cNvPr id="2" name="Kuvatekstinuoli ylös 2">
          <a:extLst>
            <a:ext uri="{FF2B5EF4-FFF2-40B4-BE49-F238E27FC236}">
              <a16:creationId xmlns:a16="http://schemas.microsoft.com/office/drawing/2014/main" id="{7B519549-2B39-462D-B3B7-589C64476578}"/>
            </a:ext>
          </a:extLst>
        </xdr:cNvPr>
        <xdr:cNvSpPr/>
      </xdr:nvSpPr>
      <xdr:spPr>
        <a:xfrm>
          <a:off x="2851785" y="25601911"/>
          <a:ext cx="1941452" cy="967685"/>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13</xdr:col>
      <xdr:colOff>673100</xdr:colOff>
      <xdr:row>19</xdr:row>
      <xdr:rowOff>171450</xdr:rowOff>
    </xdr:from>
    <xdr:to>
      <xdr:col>26</xdr:col>
      <xdr:colOff>254000</xdr:colOff>
      <xdr:row>50</xdr:row>
      <xdr:rowOff>165100</xdr:rowOff>
    </xdr:to>
    <xdr:graphicFrame macro="">
      <xdr:nvGraphicFramePr>
        <xdr:cNvPr id="3" name="Kaavio 2">
          <a:extLst>
            <a:ext uri="{FF2B5EF4-FFF2-40B4-BE49-F238E27FC236}">
              <a16:creationId xmlns:a16="http://schemas.microsoft.com/office/drawing/2014/main" id="{A1E02158-59CC-3848-A946-2D76201EC2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565785</xdr:colOff>
      <xdr:row>109</xdr:row>
      <xdr:rowOff>55861</xdr:rowOff>
    </xdr:from>
    <xdr:to>
      <xdr:col>5</xdr:col>
      <xdr:colOff>125987</xdr:colOff>
      <xdr:row>114</xdr:row>
      <xdr:rowOff>166296</xdr:rowOff>
    </xdr:to>
    <xdr:sp macro="" textlink="">
      <xdr:nvSpPr>
        <xdr:cNvPr id="5" name="Kuvatekstinuoli ylös 1">
          <a:extLst>
            <a:ext uri="{FF2B5EF4-FFF2-40B4-BE49-F238E27FC236}">
              <a16:creationId xmlns:a16="http://schemas.microsoft.com/office/drawing/2014/main" id="{D71DA6DA-45DF-4C12-9F11-A589F020893F}"/>
            </a:ext>
          </a:extLst>
        </xdr:cNvPr>
        <xdr:cNvSpPr/>
      </xdr:nvSpPr>
      <xdr:spPr>
        <a:xfrm>
          <a:off x="2861310" y="25630486"/>
          <a:ext cx="1941452" cy="967685"/>
        </a:xfrm>
        <a:prstGeom prst="up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fi-FI" sz="1100">
              <a:solidFill>
                <a:schemeClr val="lt1"/>
              </a:solidFill>
              <a:effectLst/>
              <a:latin typeface="+mn-lt"/>
              <a:ea typeface="+mn-ea"/>
              <a:cs typeface="+mn-cs"/>
            </a:rPr>
            <a:t>Det här</a:t>
          </a:r>
          <a:r>
            <a:rPr lang="fi-FI" sz="1100" baseline="0">
              <a:solidFill>
                <a:schemeClr val="lt1"/>
              </a:solidFill>
              <a:effectLst/>
              <a:latin typeface="+mn-lt"/>
              <a:ea typeface="+mn-ea"/>
              <a:cs typeface="+mn-cs"/>
            </a:rPr>
            <a:t> uppskattningen kommer från odlarfamiljens arbetsinsats delat med 2. </a:t>
          </a:r>
          <a:endParaRPr lang="sv-FI">
            <a:effectLst/>
          </a:endParaRPr>
        </a:p>
        <a:p>
          <a:pPr algn="l"/>
          <a:r>
            <a:rPr lang="fi-FI" sz="1100" baseline="0"/>
            <a:t>.</a:t>
          </a:r>
          <a:endParaRPr lang="fi-FI" sz="1100"/>
        </a:p>
      </xdr:txBody>
    </xdr:sp>
    <xdr:clientData/>
  </xdr:twoCellAnchor>
</xdr:wsDr>
</file>

<file path=xl/persons/person.xml><?xml version="1.0" encoding="utf-8"?>
<personList xmlns="http://schemas.microsoft.com/office/spreadsheetml/2018/threadedcomments" xmlns:x="http://schemas.openxmlformats.org/spreadsheetml/2006/main">
  <person displayName="Anu Koivisto" id="{D7BDE730-0649-7A4C-B579-8823EF21A6BC}" userId="e7748cb3eb07e0f5" providerId="Windows Live"/>
  <person displayName="Koivisto Anu (LUKE)" id="{16199B1C-38C2-4CC8-9EBF-9EBC71BFDBB7}" userId="S::anu.koivisto@luke.fi::73662803-cc37-4791-b0b5-0898a820b43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41" dT="2025-03-13T10:27:01.21" personId="{D7BDE730-0649-7A4C-B579-8823EF21A6BC}" id="{2FC355D6-B711-B043-BC05-5DA833CF2F8A}">
    <text>Siemeniä tarvitaan noin 15 % enemmän, kun taimitarve</text>
  </threadedComment>
</ThreadedComments>
</file>

<file path=xl/threadedComments/threadedComment2.xml><?xml version="1.0" encoding="utf-8"?>
<ThreadedComments xmlns="http://schemas.microsoft.com/office/spreadsheetml/2018/threadedcomments" xmlns:x="http://schemas.openxmlformats.org/spreadsheetml/2006/main">
  <threadedComment ref="J8" dT="2024-02-12T12:35:58.74" personId="{16199B1C-38C2-4CC8-9EBF-9EBC71BFDBB7}" id="{53427216-4B07-4F65-8694-88975046D36F}">
    <text>Tätä tukea voi saada enintään 50 hehtaarille.</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904DA-E258-7542-B94B-2C50CBF4AF91}">
  <dimension ref="B61:K62"/>
  <sheetViews>
    <sheetView tabSelected="1" zoomScale="55" zoomScaleNormal="55" workbookViewId="0">
      <selection activeCell="S40" sqref="S40"/>
    </sheetView>
  </sheetViews>
  <sheetFormatPr defaultColWidth="11.44140625" defaultRowHeight="13.2" x14ac:dyDescent="0.25"/>
  <sheetData>
    <row r="61" spans="2:11" ht="13.8" thickBot="1" x14ac:dyDescent="0.3"/>
    <row r="62" spans="2:11" ht="25.2" thickBot="1" x14ac:dyDescent="0.45">
      <c r="B62" s="1012" t="s">
        <v>0</v>
      </c>
      <c r="C62" s="1013"/>
      <c r="D62" s="1013"/>
      <c r="E62" s="1013"/>
      <c r="F62" s="1013"/>
      <c r="G62" s="1013"/>
      <c r="H62" s="1013"/>
      <c r="I62" s="1013"/>
      <c r="J62" s="1013"/>
      <c r="K62" s="1014"/>
    </row>
  </sheetData>
  <mergeCells count="1">
    <mergeCell ref="B62:K62"/>
  </mergeCells>
  <hyperlinks>
    <hyperlink ref="B62:K62" location="'Gårdens info'!A1" display="HÄRIFRÅN_KOMMER_DU_TILL_KALKYLERNA" xr:uid="{36DA53F1-2CC0-514E-8787-AE928A7205F3}"/>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66F3D-CE6B-FB4F-B77A-3BFD8E2D867E}">
  <dimension ref="A2:AE164"/>
  <sheetViews>
    <sheetView zoomScale="58" zoomScaleNormal="70" workbookViewId="0">
      <selection activeCell="D23" sqref="D23"/>
    </sheetView>
  </sheetViews>
  <sheetFormatPr defaultColWidth="11.44140625" defaultRowHeight="17.399999999999999" x14ac:dyDescent="0.3"/>
  <cols>
    <col min="1" max="1" width="7" customWidth="1"/>
    <col min="2" max="2" width="10.33203125" style="56" customWidth="1"/>
    <col min="3" max="3" width="43.33203125" customWidth="1"/>
    <col min="4" max="4" width="13.33203125" customWidth="1"/>
    <col min="5" max="5" width="6.44140625" customWidth="1"/>
    <col min="6" max="6" width="4.6640625" customWidth="1"/>
    <col min="7" max="7" width="13.6640625" customWidth="1"/>
    <col min="8" max="8" width="18.33203125" customWidth="1"/>
    <col min="9" max="9" width="8.6640625" customWidth="1"/>
    <col min="10" max="10" width="15.109375" customWidth="1"/>
    <col min="12" max="12" width="15.109375" customWidth="1"/>
    <col min="18" max="18" width="33" bestFit="1" customWidth="1"/>
    <col min="19" max="19" width="21" customWidth="1"/>
    <col min="21" max="21" width="15.6640625" customWidth="1"/>
    <col min="22" max="22" width="9" customWidth="1"/>
    <col min="29" max="29" width="11.44140625" style="13"/>
  </cols>
  <sheetData>
    <row r="2" spans="2:17" ht="24.6" x14ac:dyDescent="0.4">
      <c r="B2" s="112" t="s">
        <v>1</v>
      </c>
      <c r="C2" s="113"/>
      <c r="D2" s="113"/>
      <c r="E2" s="113"/>
      <c r="F2" s="113"/>
      <c r="G2" s="113"/>
      <c r="H2" s="113"/>
      <c r="I2" s="113"/>
      <c r="J2" s="113"/>
      <c r="K2" s="113"/>
      <c r="L2" s="113"/>
      <c r="M2" s="113"/>
      <c r="N2" s="114"/>
    </row>
    <row r="3" spans="2:17" x14ac:dyDescent="0.3">
      <c r="B3" s="115"/>
      <c r="C3" s="116"/>
      <c r="D3" s="116"/>
      <c r="E3" s="116"/>
      <c r="F3" s="116"/>
      <c r="G3" s="116"/>
      <c r="H3" s="116"/>
      <c r="I3" s="116"/>
      <c r="J3" s="116"/>
      <c r="K3" s="116"/>
      <c r="L3" s="116"/>
      <c r="M3" s="116"/>
      <c r="N3" s="117"/>
    </row>
    <row r="4" spans="2:17" ht="64.2" customHeight="1" x14ac:dyDescent="0.3">
      <c r="B4" s="1016" t="s">
        <v>2</v>
      </c>
      <c r="C4" s="1017"/>
      <c r="D4" s="1017"/>
      <c r="E4" s="1017"/>
      <c r="F4" s="1017"/>
      <c r="G4" s="1017"/>
      <c r="H4" s="1017"/>
      <c r="I4" s="1017"/>
      <c r="J4" s="1017"/>
      <c r="K4" s="1017"/>
      <c r="L4" s="614"/>
      <c r="M4" s="614"/>
      <c r="N4" s="615"/>
    </row>
    <row r="5" spans="2:17" x14ac:dyDescent="0.3">
      <c r="B5" s="115"/>
      <c r="C5" s="116"/>
      <c r="D5" s="116"/>
      <c r="E5" s="116"/>
      <c r="F5" s="116"/>
      <c r="G5" s="116"/>
      <c r="H5" s="116"/>
      <c r="I5" s="116"/>
      <c r="J5" s="116"/>
      <c r="K5" s="116"/>
      <c r="L5" s="116"/>
      <c r="M5" s="116"/>
      <c r="N5" s="117"/>
    </row>
    <row r="6" spans="2:17" x14ac:dyDescent="0.3">
      <c r="B6" s="115" t="s">
        <v>3</v>
      </c>
      <c r="C6" s="116"/>
      <c r="D6" s="116"/>
      <c r="E6" s="116"/>
      <c r="F6" s="116"/>
      <c r="G6" s="116"/>
      <c r="H6" s="116"/>
      <c r="I6" s="116"/>
      <c r="J6" s="116"/>
      <c r="K6" s="116"/>
      <c r="L6" s="116"/>
      <c r="M6" s="116"/>
      <c r="N6" s="117"/>
    </row>
    <row r="7" spans="2:17" x14ac:dyDescent="0.3">
      <c r="B7" s="115"/>
      <c r="C7" s="116"/>
      <c r="D7" s="116"/>
      <c r="E7" s="116"/>
      <c r="F7" s="116"/>
      <c r="G7" s="116"/>
      <c r="H7" s="116"/>
      <c r="I7" s="116"/>
      <c r="J7" s="116"/>
      <c r="K7" s="116"/>
      <c r="L7" s="116"/>
      <c r="M7" s="116"/>
      <c r="N7" s="117"/>
    </row>
    <row r="8" spans="2:17" ht="25.95" customHeight="1" thickBot="1" x14ac:dyDescent="0.45">
      <c r="B8" s="362" t="s">
        <v>4</v>
      </c>
      <c r="C8" s="116"/>
      <c r="D8" s="1007" t="s">
        <v>5</v>
      </c>
      <c r="E8" s="230"/>
      <c r="F8" s="118"/>
      <c r="G8" s="1015" t="s">
        <v>6</v>
      </c>
      <c r="H8" s="1015"/>
      <c r="I8" s="162"/>
      <c r="J8" s="116"/>
      <c r="K8" s="116"/>
      <c r="L8" s="116"/>
      <c r="M8" s="116"/>
      <c r="N8" s="117"/>
    </row>
    <row r="9" spans="2:17" ht="21" thickBot="1" x14ac:dyDescent="0.4">
      <c r="B9" s="957" t="s">
        <v>4</v>
      </c>
      <c r="C9" s="958"/>
      <c r="D9" s="159">
        <v>10</v>
      </c>
      <c r="E9" s="120" t="s">
        <v>7</v>
      </c>
      <c r="F9" s="118"/>
      <c r="G9" s="272">
        <v>30000</v>
      </c>
      <c r="H9" s="120" t="s">
        <v>8</v>
      </c>
      <c r="I9" s="233"/>
      <c r="J9" s="120"/>
      <c r="K9" s="511" t="str">
        <f>IF(AND(D9=0, G9&gt;0),"HUOM! Ei voi olla satoa, jos ei ole viljelyalaa!", " ")</f>
        <v xml:space="preserve"> </v>
      </c>
      <c r="L9" s="120"/>
      <c r="M9" s="511"/>
      <c r="N9" s="512"/>
      <c r="P9" s="513" t="str">
        <f>IF(AND(F9=0, I9&gt;0),"HUOM! Satoa ei voi tulla, mikäli kokonaisala on 0 ha. Korjaathan sadon nollaksi!"," ")</f>
        <v xml:space="preserve"> </v>
      </c>
      <c r="Q9" s="513"/>
    </row>
    <row r="10" spans="2:17" ht="20.399999999999999" x14ac:dyDescent="0.35">
      <c r="B10" s="959"/>
      <c r="C10" s="960"/>
      <c r="D10" s="116"/>
      <c r="E10" s="116"/>
      <c r="F10" s="116"/>
      <c r="G10" s="116"/>
      <c r="H10" s="116"/>
      <c r="I10" s="246"/>
      <c r="J10" s="246"/>
      <c r="K10" s="246"/>
      <c r="L10" s="246"/>
      <c r="M10" s="14"/>
      <c r="N10" s="739"/>
      <c r="O10" s="14"/>
    </row>
    <row r="11" spans="2:17" ht="25.95" customHeight="1" thickBot="1" x14ac:dyDescent="0.45">
      <c r="B11" s="1042" t="s">
        <v>9</v>
      </c>
      <c r="C11" s="1043"/>
      <c r="D11" s="1027" t="s">
        <v>10</v>
      </c>
      <c r="E11" s="1027"/>
      <c r="F11" s="118"/>
      <c r="G11" s="1015" t="s">
        <v>6</v>
      </c>
      <c r="H11" s="1015"/>
      <c r="I11" s="740"/>
      <c r="J11" s="246"/>
      <c r="K11" s="249"/>
      <c r="L11" s="246"/>
      <c r="M11" s="246"/>
      <c r="N11" s="739"/>
      <c r="O11" s="14"/>
    </row>
    <row r="12" spans="2:17" ht="21" thickBot="1" x14ac:dyDescent="0.4">
      <c r="B12" s="961" t="s">
        <v>11</v>
      </c>
      <c r="C12" s="962"/>
      <c r="D12" s="159">
        <v>10</v>
      </c>
      <c r="E12" s="120" t="s">
        <v>7</v>
      </c>
      <c r="F12" s="118"/>
      <c r="G12" s="272">
        <v>60000</v>
      </c>
      <c r="H12" s="120" t="s">
        <v>8</v>
      </c>
      <c r="I12" s="275"/>
      <c r="K12" s="511" t="str">
        <f>IF(AND(D12=0, G12&gt;0),"HUOM! Ei voi olla satoa, jos ei ole viljelyalaa!", " ")</f>
        <v xml:space="preserve"> </v>
      </c>
      <c r="L12" s="249"/>
      <c r="M12" s="249"/>
      <c r="N12" s="741"/>
      <c r="O12" s="14"/>
      <c r="P12" s="513" t="str">
        <f>IF(AND(F12=0, I12&gt;0),"HUOM! Satoa ei voi tulla, mikäli kokonaisala on 0 ha. Korjaathan sadon nollaksi!"," ")</f>
        <v xml:space="preserve"> </v>
      </c>
      <c r="Q12" s="513"/>
    </row>
    <row r="13" spans="2:17" ht="21" thickBot="1" x14ac:dyDescent="0.4">
      <c r="B13" s="963" t="s">
        <v>12</v>
      </c>
      <c r="C13" s="964"/>
      <c r="D13" s="160">
        <v>10</v>
      </c>
      <c r="E13" s="120" t="s">
        <v>7</v>
      </c>
      <c r="F13" s="118"/>
      <c r="G13" s="476">
        <v>50000</v>
      </c>
      <c r="H13" s="120" t="s">
        <v>8</v>
      </c>
      <c r="I13" s="275"/>
      <c r="J13" s="249"/>
      <c r="K13" s="511" t="str">
        <f t="shared" ref="K13:K16" si="0">IF(AND(D13=0, G13&gt;0),"HUOM! Ei voi olla satoa, jos ei ole viljelyalaa!", " ")</f>
        <v xml:space="preserve"> </v>
      </c>
      <c r="L13" s="249"/>
      <c r="M13" s="249"/>
      <c r="N13" s="741"/>
      <c r="O13" s="14"/>
      <c r="Q13" s="513"/>
    </row>
    <row r="14" spans="2:17" ht="21" thickBot="1" x14ac:dyDescent="0.4">
      <c r="B14" s="965" t="s">
        <v>13</v>
      </c>
      <c r="C14" s="966"/>
      <c r="D14" s="160">
        <v>2</v>
      </c>
      <c r="E14" s="120" t="s">
        <v>7</v>
      </c>
      <c r="F14" s="118"/>
      <c r="G14" s="476">
        <v>40000</v>
      </c>
      <c r="H14" s="120" t="s">
        <v>8</v>
      </c>
      <c r="I14" s="275"/>
      <c r="J14" s="249"/>
      <c r="K14" s="511" t="str">
        <f t="shared" si="0"/>
        <v xml:space="preserve"> </v>
      </c>
      <c r="L14" s="249"/>
      <c r="M14" s="249"/>
      <c r="N14" s="741"/>
      <c r="O14" s="14"/>
      <c r="Q14" s="513"/>
    </row>
    <row r="15" spans="2:17" ht="21" thickBot="1" x14ac:dyDescent="0.4">
      <c r="B15" s="965" t="s">
        <v>14</v>
      </c>
      <c r="C15" s="966"/>
      <c r="D15" s="160">
        <v>5</v>
      </c>
      <c r="E15" s="120" t="s">
        <v>7</v>
      </c>
      <c r="F15" s="118"/>
      <c r="G15" s="476">
        <v>35000</v>
      </c>
      <c r="H15" s="120" t="s">
        <v>8</v>
      </c>
      <c r="I15" s="275"/>
      <c r="J15" s="249"/>
      <c r="K15" s="511" t="str">
        <f t="shared" si="0"/>
        <v xml:space="preserve"> </v>
      </c>
      <c r="L15" s="249"/>
      <c r="M15" s="249"/>
      <c r="N15" s="741"/>
      <c r="O15" s="14"/>
      <c r="Q15" s="513"/>
    </row>
    <row r="16" spans="2:17" ht="21" thickBot="1" x14ac:dyDescent="0.4">
      <c r="B16" s="967" t="s">
        <v>15</v>
      </c>
      <c r="C16" s="968"/>
      <c r="D16" s="160">
        <v>2</v>
      </c>
      <c r="E16" s="120" t="s">
        <v>7</v>
      </c>
      <c r="F16" s="118"/>
      <c r="G16" s="476">
        <v>4000</v>
      </c>
      <c r="H16" s="120" t="s">
        <v>8</v>
      </c>
      <c r="I16" s="275"/>
      <c r="J16" s="249"/>
      <c r="K16" s="511" t="str">
        <f t="shared" si="0"/>
        <v xml:space="preserve"> </v>
      </c>
      <c r="L16" s="249"/>
      <c r="M16" s="249"/>
      <c r="N16" s="741"/>
      <c r="O16" s="14"/>
      <c r="Q16" s="513"/>
    </row>
    <row r="17" spans="1:28" ht="21" thickBot="1" x14ac:dyDescent="0.4">
      <c r="B17" s="969" t="s">
        <v>16</v>
      </c>
      <c r="C17" s="970"/>
      <c r="D17" s="160">
        <v>0</v>
      </c>
      <c r="E17" s="120" t="s">
        <v>7</v>
      </c>
      <c r="F17" s="118"/>
      <c r="G17" s="476">
        <v>0</v>
      </c>
      <c r="H17" s="120" t="s">
        <v>8</v>
      </c>
      <c r="I17" s="275"/>
      <c r="J17" s="249"/>
      <c r="K17" s="511" t="str">
        <f t="shared" ref="K17:K21" si="1">IF(AND(D17=0, G17&gt;0),"HUOM! Ei voi olla satoa, jos ei ole viljelyalaa!", " ")</f>
        <v xml:space="preserve"> </v>
      </c>
      <c r="L17" s="249"/>
      <c r="M17" s="249"/>
      <c r="N17" s="741"/>
      <c r="O17" s="14"/>
      <c r="Q17" s="513"/>
    </row>
    <row r="18" spans="1:28" ht="21" thickBot="1" x14ac:dyDescent="0.4">
      <c r="B18" s="971" t="s">
        <v>17</v>
      </c>
      <c r="C18" s="972"/>
      <c r="D18" s="160">
        <v>0</v>
      </c>
      <c r="E18" s="120" t="s">
        <v>7</v>
      </c>
      <c r="F18" s="118"/>
      <c r="G18" s="476">
        <v>0</v>
      </c>
      <c r="H18" s="120" t="s">
        <v>8</v>
      </c>
      <c r="I18" s="275"/>
      <c r="J18" s="249"/>
      <c r="K18" s="511" t="str">
        <f t="shared" si="1"/>
        <v xml:space="preserve"> </v>
      </c>
      <c r="L18" s="249"/>
      <c r="M18" s="249"/>
      <c r="N18" s="741"/>
      <c r="O18" s="14"/>
      <c r="Q18" s="513"/>
    </row>
    <row r="19" spans="1:28" ht="21.6" thickBot="1" x14ac:dyDescent="0.45">
      <c r="B19" s="973" t="s">
        <v>18</v>
      </c>
      <c r="C19" s="974"/>
      <c r="D19" s="160">
        <v>0</v>
      </c>
      <c r="E19" s="120" t="s">
        <v>7</v>
      </c>
      <c r="F19" s="118"/>
      <c r="G19" s="476">
        <v>0</v>
      </c>
      <c r="H19" s="120" t="s">
        <v>8</v>
      </c>
      <c r="I19" s="275"/>
      <c r="J19" s="249"/>
      <c r="K19" s="511" t="str">
        <f t="shared" si="1"/>
        <v xml:space="preserve"> </v>
      </c>
      <c r="L19" s="249"/>
      <c r="M19" s="249"/>
      <c r="N19" s="741"/>
      <c r="O19" s="14"/>
      <c r="Q19" s="513"/>
      <c r="R19" s="362" t="s">
        <v>19</v>
      </c>
      <c r="S19" s="118" t="s">
        <v>20</v>
      </c>
      <c r="T19" s="118"/>
      <c r="U19" s="921" t="s">
        <v>21</v>
      </c>
      <c r="V19" s="118"/>
      <c r="W19" s="921" t="s">
        <v>22</v>
      </c>
      <c r="X19" s="118"/>
      <c r="Y19" s="921" t="s">
        <v>23</v>
      </c>
      <c r="Z19" s="118"/>
      <c r="AA19" s="921" t="s">
        <v>24</v>
      </c>
      <c r="AB19" s="118"/>
    </row>
    <row r="20" spans="1:28" ht="21" thickBot="1" x14ac:dyDescent="0.4">
      <c r="B20" s="975" t="s">
        <v>25</v>
      </c>
      <c r="C20" s="976"/>
      <c r="D20" s="160">
        <v>0</v>
      </c>
      <c r="E20" s="120" t="s">
        <v>7</v>
      </c>
      <c r="F20" s="118"/>
      <c r="G20" s="476">
        <v>0</v>
      </c>
      <c r="H20" s="120" t="s">
        <v>8</v>
      </c>
      <c r="I20" s="275"/>
      <c r="J20" s="249"/>
      <c r="K20" s="511" t="str">
        <f t="shared" si="1"/>
        <v xml:space="preserve"> </v>
      </c>
      <c r="L20" s="249"/>
      <c r="M20" s="249"/>
      <c r="N20" s="741"/>
      <c r="O20" s="14"/>
      <c r="Q20" s="513"/>
      <c r="R20" s="999" t="s">
        <v>26</v>
      </c>
      <c r="S20" s="653">
        <f>U20+W20+Y20+AA20</f>
        <v>5</v>
      </c>
      <c r="T20" s="120" t="s">
        <v>7</v>
      </c>
      <c r="U20" s="159">
        <v>1</v>
      </c>
      <c r="V20" s="120" t="s">
        <v>7</v>
      </c>
      <c r="W20" s="159"/>
      <c r="X20" s="120" t="s">
        <v>7</v>
      </c>
      <c r="Y20" s="159">
        <v>4</v>
      </c>
      <c r="Z20" s="120" t="s">
        <v>7</v>
      </c>
      <c r="AA20" s="159"/>
      <c r="AB20" s="120" t="s">
        <v>7</v>
      </c>
    </row>
    <row r="21" spans="1:28" ht="21" thickBot="1" x14ac:dyDescent="0.4">
      <c r="B21" s="977" t="s">
        <v>27</v>
      </c>
      <c r="C21" s="978"/>
      <c r="D21" s="160">
        <v>0</v>
      </c>
      <c r="E21" s="120" t="s">
        <v>7</v>
      </c>
      <c r="F21" s="118"/>
      <c r="G21" s="476">
        <v>0</v>
      </c>
      <c r="H21" s="120" t="s">
        <v>8</v>
      </c>
      <c r="I21" s="275"/>
      <c r="J21" s="249"/>
      <c r="K21" s="511" t="str">
        <f t="shared" si="1"/>
        <v xml:space="preserve"> </v>
      </c>
      <c r="L21" s="249"/>
      <c r="M21" s="249"/>
      <c r="N21" s="741"/>
      <c r="O21" s="14"/>
      <c r="Q21" s="513"/>
      <c r="R21" s="654" t="s">
        <v>28</v>
      </c>
      <c r="S21" s="653">
        <f>(U21*U20+W21*W20+Y21*Y20+AA21*AA20)/S20</f>
        <v>3400</v>
      </c>
      <c r="T21" s="120" t="s">
        <v>8</v>
      </c>
      <c r="U21" s="159">
        <v>3000</v>
      </c>
      <c r="V21" s="120" t="s">
        <v>8</v>
      </c>
      <c r="W21" s="159"/>
      <c r="X21" s="120" t="s">
        <v>8</v>
      </c>
      <c r="Y21" s="159">
        <v>3500</v>
      </c>
      <c r="Z21" s="120" t="s">
        <v>8</v>
      </c>
      <c r="AA21" s="159"/>
      <c r="AB21" s="120" t="s">
        <v>8</v>
      </c>
    </row>
    <row r="22" spans="1:28" ht="21" thickBot="1" x14ac:dyDescent="0.4">
      <c r="B22" s="979"/>
      <c r="C22" s="960"/>
      <c r="D22" s="163"/>
      <c r="E22" s="120"/>
      <c r="F22" s="118"/>
      <c r="G22" s="233"/>
      <c r="H22" s="120"/>
      <c r="I22" s="275"/>
      <c r="J22" s="249"/>
      <c r="K22" s="249"/>
      <c r="L22" s="249"/>
      <c r="M22" s="249"/>
      <c r="N22" s="741"/>
      <c r="O22" s="14"/>
      <c r="Q22" s="513"/>
      <c r="R22" s="654"/>
      <c r="S22" s="163"/>
      <c r="T22" s="120"/>
      <c r="U22" s="696"/>
      <c r="V22" s="120"/>
      <c r="W22" s="696"/>
      <c r="X22" s="120"/>
      <c r="Y22" s="696"/>
      <c r="Z22" s="120"/>
      <c r="AA22" s="696"/>
      <c r="AB22" s="120"/>
    </row>
    <row r="23" spans="1:28" ht="21" thickBot="1" x14ac:dyDescent="0.4">
      <c r="B23" s="980" t="s">
        <v>29</v>
      </c>
      <c r="C23" s="981"/>
      <c r="D23" s="803">
        <v>0</v>
      </c>
      <c r="E23" s="120" t="s">
        <v>30</v>
      </c>
      <c r="F23" s="118"/>
      <c r="G23" s="272">
        <v>46000</v>
      </c>
      <c r="H23" s="120" t="s">
        <v>31</v>
      </c>
      <c r="I23" s="275"/>
      <c r="J23" s="249"/>
      <c r="K23" s="249"/>
      <c r="L23" s="249"/>
      <c r="M23" s="249"/>
      <c r="N23" s="741"/>
      <c r="O23" s="14"/>
      <c r="Q23" s="513"/>
      <c r="R23" s="654"/>
      <c r="S23" s="163"/>
      <c r="T23" s="120"/>
      <c r="U23" s="696"/>
      <c r="V23" s="120"/>
      <c r="W23" s="696"/>
      <c r="X23" s="120"/>
      <c r="Y23" s="696"/>
      <c r="Z23" s="120"/>
      <c r="AA23" s="696"/>
      <c r="AB23" s="120"/>
    </row>
    <row r="24" spans="1:28" ht="20.399999999999999" x14ac:dyDescent="0.35">
      <c r="B24" s="982" t="s">
        <v>32</v>
      </c>
      <c r="C24" s="983"/>
      <c r="D24" s="920" t="s">
        <v>33</v>
      </c>
      <c r="E24" s="120"/>
      <c r="F24" s="118"/>
      <c r="G24" s="233"/>
      <c r="H24" s="120"/>
      <c r="I24" s="275"/>
      <c r="J24" s="249"/>
      <c r="K24" s="249"/>
      <c r="L24" s="249"/>
      <c r="M24" s="249"/>
      <c r="N24" s="741"/>
      <c r="O24" s="14"/>
      <c r="Q24" s="513"/>
      <c r="R24" s="654"/>
      <c r="S24" s="163"/>
      <c r="T24" s="120"/>
      <c r="U24" s="696"/>
      <c r="V24" s="120"/>
      <c r="W24" s="696"/>
      <c r="X24" s="120"/>
      <c r="Y24" s="696"/>
      <c r="Z24" s="120"/>
      <c r="AA24" s="696"/>
      <c r="AB24" s="120"/>
    </row>
    <row r="25" spans="1:28" ht="21" thickBot="1" x14ac:dyDescent="0.4">
      <c r="B25" s="959"/>
      <c r="C25" s="960"/>
      <c r="D25" s="118"/>
      <c r="E25" s="118"/>
      <c r="F25" s="118"/>
      <c r="G25" s="118"/>
      <c r="H25" s="118"/>
      <c r="I25" s="162"/>
      <c r="J25" s="116"/>
      <c r="K25" s="116"/>
      <c r="L25" s="116"/>
      <c r="M25" s="511"/>
      <c r="N25" s="117"/>
      <c r="Q25" s="513"/>
      <c r="R25" s="363"/>
      <c r="S25" s="163"/>
      <c r="T25" s="120"/>
      <c r="U25" s="163"/>
      <c r="V25" s="120"/>
      <c r="W25" s="163"/>
      <c r="X25" s="120"/>
      <c r="Y25" s="163"/>
      <c r="Z25" s="120"/>
      <c r="AA25" s="163"/>
      <c r="AB25" s="120"/>
    </row>
    <row r="26" spans="1:28" ht="24" customHeight="1" thickBot="1" x14ac:dyDescent="0.45">
      <c r="B26" s="362" t="s">
        <v>19</v>
      </c>
      <c r="C26" s="116"/>
      <c r="D26" s="1027" t="s">
        <v>10</v>
      </c>
      <c r="E26" s="1027"/>
      <c r="F26" s="118"/>
      <c r="G26" s="1015" t="s">
        <v>6</v>
      </c>
      <c r="H26" s="1015"/>
      <c r="I26" s="162" t="s">
        <v>34</v>
      </c>
      <c r="J26" s="116"/>
      <c r="K26" s="162" t="s">
        <v>35</v>
      </c>
      <c r="L26" s="162"/>
      <c r="M26" s="511"/>
      <c r="N26" s="117"/>
      <c r="Q26" s="513"/>
      <c r="R26" s="1000" t="s">
        <v>36</v>
      </c>
      <c r="S26" s="653">
        <f>U26+W26+Y26+AA26</f>
        <v>1</v>
      </c>
      <c r="T26" s="120" t="s">
        <v>7</v>
      </c>
      <c r="U26" s="159"/>
      <c r="V26" s="120" t="s">
        <v>7</v>
      </c>
      <c r="W26" s="159"/>
      <c r="X26" s="120" t="s">
        <v>7</v>
      </c>
      <c r="Y26" s="159">
        <v>1</v>
      </c>
      <c r="Z26" s="120" t="s">
        <v>7</v>
      </c>
      <c r="AA26" s="159"/>
      <c r="AB26" s="120" t="s">
        <v>7</v>
      </c>
    </row>
    <row r="27" spans="1:28" ht="73.2" customHeight="1" thickBot="1" x14ac:dyDescent="0.35">
      <c r="B27" s="1018" t="s">
        <v>37</v>
      </c>
      <c r="C27" s="1019"/>
      <c r="D27" s="1019"/>
      <c r="E27" s="1019"/>
      <c r="F27" s="1019"/>
      <c r="G27" s="1019"/>
      <c r="H27" s="1019"/>
      <c r="I27" s="1019"/>
      <c r="J27" s="1019"/>
      <c r="K27" s="1019"/>
      <c r="L27" s="1019"/>
      <c r="M27" s="1019"/>
      <c r="N27" s="1020"/>
      <c r="Q27" s="513"/>
      <c r="R27" s="658" t="s">
        <v>38</v>
      </c>
      <c r="S27" s="653">
        <f>(U27*U26+W27*W26+Y27*Y26+AA27*AA26)/S26</f>
        <v>8000</v>
      </c>
      <c r="T27" s="120" t="s">
        <v>8</v>
      </c>
      <c r="U27" s="159"/>
      <c r="V27" s="120" t="s">
        <v>8</v>
      </c>
      <c r="W27" s="159"/>
      <c r="X27" s="120" t="s">
        <v>8</v>
      </c>
      <c r="Y27" s="159">
        <v>8000</v>
      </c>
      <c r="Z27" s="120" t="s">
        <v>8</v>
      </c>
      <c r="AA27" s="159"/>
      <c r="AB27" s="120" t="s">
        <v>8</v>
      </c>
    </row>
    <row r="28" spans="1:28" ht="21" thickBot="1" x14ac:dyDescent="0.4">
      <c r="A28" s="663" t="s">
        <v>39</v>
      </c>
      <c r="B28" s="984" t="s">
        <v>26</v>
      </c>
      <c r="C28" s="985"/>
      <c r="D28" s="653">
        <v>3</v>
      </c>
      <c r="E28" s="120" t="s">
        <v>7</v>
      </c>
      <c r="F28" s="120"/>
      <c r="G28" s="655">
        <f>IF(S20&gt;0,S21,0)</f>
        <v>3400</v>
      </c>
      <c r="H28" s="120" t="s">
        <v>8</v>
      </c>
      <c r="I28" s="72">
        <v>3</v>
      </c>
      <c r="J28" s="120" t="s">
        <v>40</v>
      </c>
      <c r="K28" s="120"/>
      <c r="L28" s="120"/>
      <c r="M28" s="511"/>
      <c r="N28" s="512"/>
      <c r="Q28" s="513"/>
      <c r="R28" s="116"/>
      <c r="S28" s="163"/>
      <c r="T28" s="120"/>
      <c r="U28" s="163"/>
      <c r="V28" s="120"/>
      <c r="W28" s="163"/>
      <c r="X28" s="120"/>
      <c r="Y28" s="163"/>
      <c r="Z28" s="120"/>
      <c r="AA28" s="163"/>
      <c r="AB28" s="120"/>
    </row>
    <row r="29" spans="1:28" ht="21" thickBot="1" x14ac:dyDescent="0.4">
      <c r="A29" s="663" t="s">
        <v>39</v>
      </c>
      <c r="B29" s="986" t="s">
        <v>36</v>
      </c>
      <c r="C29" s="987"/>
      <c r="D29" s="653">
        <v>0</v>
      </c>
      <c r="E29" s="120" t="s">
        <v>7</v>
      </c>
      <c r="F29" s="120"/>
      <c r="G29" s="655">
        <f>IF(S26&gt;0,S27,0)</f>
        <v>8000</v>
      </c>
      <c r="H29" s="120" t="s">
        <v>8</v>
      </c>
      <c r="I29" s="72">
        <v>1</v>
      </c>
      <c r="J29" s="120" t="s">
        <v>40</v>
      </c>
      <c r="K29" s="120"/>
      <c r="L29" s="120"/>
      <c r="M29" s="511"/>
      <c r="N29" s="512"/>
      <c r="Q29" s="513"/>
      <c r="R29" s="1001" t="s">
        <v>41</v>
      </c>
      <c r="S29" s="653">
        <f>U29+W29+Y29+AA29</f>
        <v>4</v>
      </c>
      <c r="T29" s="120" t="s">
        <v>7</v>
      </c>
      <c r="U29" s="159">
        <v>0.5</v>
      </c>
      <c r="V29" s="120" t="s">
        <v>7</v>
      </c>
      <c r="W29" s="159">
        <v>0.5</v>
      </c>
      <c r="X29" s="120" t="s">
        <v>7</v>
      </c>
      <c r="Y29" s="159">
        <v>3</v>
      </c>
      <c r="Z29" s="120" t="s">
        <v>7</v>
      </c>
      <c r="AA29" s="159"/>
      <c r="AB29" s="120" t="s">
        <v>7</v>
      </c>
    </row>
    <row r="30" spans="1:28" ht="21" thickBot="1" x14ac:dyDescent="0.4">
      <c r="A30" s="663" t="s">
        <v>39</v>
      </c>
      <c r="B30" s="988" t="s">
        <v>41</v>
      </c>
      <c r="C30" s="989"/>
      <c r="D30" s="653">
        <v>0</v>
      </c>
      <c r="E30" s="120" t="s">
        <v>7</v>
      </c>
      <c r="F30" s="120"/>
      <c r="G30" s="655">
        <f>IF(S29&gt;S273,S30,0)</f>
        <v>2375</v>
      </c>
      <c r="H30" s="120" t="s">
        <v>8</v>
      </c>
      <c r="I30" s="72">
        <v>8</v>
      </c>
      <c r="J30" s="120" t="s">
        <v>40</v>
      </c>
      <c r="K30" s="120"/>
      <c r="L30" s="120"/>
      <c r="M30" s="511"/>
      <c r="N30" s="512"/>
      <c r="Q30" s="513"/>
      <c r="R30" s="657" t="s">
        <v>38</v>
      </c>
      <c r="S30" s="653">
        <f>(U30*U29+W30*W29+Y30*Y29+AA30*AA29)/S29</f>
        <v>2375</v>
      </c>
      <c r="T30" s="120" t="s">
        <v>8</v>
      </c>
      <c r="U30" s="159"/>
      <c r="V30" s="120" t="s">
        <v>8</v>
      </c>
      <c r="W30" s="159">
        <v>1000</v>
      </c>
      <c r="X30" s="120" t="s">
        <v>8</v>
      </c>
      <c r="Y30" s="159">
        <v>3000</v>
      </c>
      <c r="Z30" s="120" t="s">
        <v>8</v>
      </c>
      <c r="AA30" s="159"/>
      <c r="AB30" s="120" t="s">
        <v>8</v>
      </c>
    </row>
    <row r="31" spans="1:28" ht="21" thickBot="1" x14ac:dyDescent="0.4">
      <c r="A31" s="663" t="s">
        <v>39</v>
      </c>
      <c r="B31" s="1034" t="s">
        <v>42</v>
      </c>
      <c r="C31" s="1035"/>
      <c r="D31" s="653">
        <v>0</v>
      </c>
      <c r="E31" s="120" t="s">
        <v>7</v>
      </c>
      <c r="F31" s="120"/>
      <c r="G31" s="655">
        <f>IF(S32&gt;S274,S33,0)</f>
        <v>4500</v>
      </c>
      <c r="H31" s="120" t="s">
        <v>8</v>
      </c>
      <c r="I31" s="72">
        <v>1</v>
      </c>
      <c r="J31" s="120" t="s">
        <v>40</v>
      </c>
      <c r="K31" s="120"/>
      <c r="L31" s="120"/>
      <c r="M31" s="511"/>
      <c r="N31" s="512"/>
      <c r="Q31" s="513"/>
      <c r="R31" s="116"/>
      <c r="S31" s="163"/>
      <c r="T31" s="120"/>
      <c r="U31" s="163"/>
      <c r="V31" s="120"/>
      <c r="W31" s="163"/>
      <c r="X31" s="120"/>
      <c r="Y31" s="163"/>
      <c r="Z31" s="120"/>
      <c r="AA31" s="163"/>
      <c r="AB31" s="120"/>
    </row>
    <row r="32" spans="1:28" ht="21" thickBot="1" x14ac:dyDescent="0.4">
      <c r="A32" s="663" t="s">
        <v>39</v>
      </c>
      <c r="B32" s="1036" t="s">
        <v>43</v>
      </c>
      <c r="C32" s="1037"/>
      <c r="D32" s="653">
        <v>0</v>
      </c>
      <c r="E32" s="120" t="s">
        <v>7</v>
      </c>
      <c r="F32" s="120"/>
      <c r="G32" s="655">
        <f>IF(S35&gt;0,S36,0)</f>
        <v>5800</v>
      </c>
      <c r="H32" s="120" t="s">
        <v>8</v>
      </c>
      <c r="I32" s="72">
        <v>10</v>
      </c>
      <c r="J32" s="120" t="s">
        <v>40</v>
      </c>
      <c r="K32" s="272">
        <v>2</v>
      </c>
      <c r="L32" s="120" t="s">
        <v>40</v>
      </c>
      <c r="M32" s="511"/>
      <c r="N32" s="512"/>
      <c r="Q32" s="513"/>
      <c r="R32" s="1002" t="s">
        <v>42</v>
      </c>
      <c r="S32" s="653">
        <f>U32+W32+Y32+AA32</f>
        <v>1</v>
      </c>
      <c r="T32" s="120" t="s">
        <v>7</v>
      </c>
      <c r="U32" s="159"/>
      <c r="V32" s="120" t="s">
        <v>7</v>
      </c>
      <c r="W32" s="159"/>
      <c r="X32" s="120" t="s">
        <v>7</v>
      </c>
      <c r="Y32" s="159">
        <v>1</v>
      </c>
      <c r="Z32" s="120" t="s">
        <v>7</v>
      </c>
      <c r="AA32" s="159"/>
      <c r="AB32" s="120" t="s">
        <v>7</v>
      </c>
    </row>
    <row r="33" spans="1:28" ht="21" thickBot="1" x14ac:dyDescent="0.4">
      <c r="A33" s="663" t="s">
        <v>39</v>
      </c>
      <c r="B33" s="1038" t="s">
        <v>44</v>
      </c>
      <c r="C33" s="1039"/>
      <c r="D33" s="653">
        <v>0</v>
      </c>
      <c r="E33" s="120" t="s">
        <v>7</v>
      </c>
      <c r="F33" s="120"/>
      <c r="G33" s="655">
        <f>IF(S38&gt;0,S39,0)</f>
        <v>4500</v>
      </c>
      <c r="H33" s="120" t="s">
        <v>8</v>
      </c>
      <c r="I33" s="72">
        <v>10</v>
      </c>
      <c r="J33" s="120" t="s">
        <v>40</v>
      </c>
      <c r="K33" s="272">
        <v>2</v>
      </c>
      <c r="L33" s="120" t="s">
        <v>40</v>
      </c>
      <c r="M33" s="511"/>
      <c r="N33" s="512"/>
      <c r="Q33" s="513"/>
      <c r="R33" s="659" t="s">
        <v>38</v>
      </c>
      <c r="S33" s="653">
        <f>(U33*U32+W33*W32+Y33*Y32+AA33*AA32)/S32</f>
        <v>4500</v>
      </c>
      <c r="T33" s="120" t="s">
        <v>8</v>
      </c>
      <c r="U33" s="159"/>
      <c r="V33" s="120" t="s">
        <v>8</v>
      </c>
      <c r="W33" s="159"/>
      <c r="X33" s="120" t="s">
        <v>8</v>
      </c>
      <c r="Y33" s="159">
        <v>4500</v>
      </c>
      <c r="Z33" s="120" t="s">
        <v>8</v>
      </c>
      <c r="AA33" s="159"/>
      <c r="AB33" s="120" t="s">
        <v>8</v>
      </c>
    </row>
    <row r="34" spans="1:28" ht="21" thickBot="1" x14ac:dyDescent="0.4">
      <c r="A34" s="663" t="s">
        <v>39</v>
      </c>
      <c r="B34" s="1040" t="s">
        <v>45</v>
      </c>
      <c r="C34" s="1041"/>
      <c r="D34" s="653">
        <v>5</v>
      </c>
      <c r="E34" s="120" t="s">
        <v>7</v>
      </c>
      <c r="F34" s="120"/>
      <c r="G34" s="655">
        <f>IF(S41&gt;0,S42,0)</f>
        <v>13666.666666666666</v>
      </c>
      <c r="H34" s="120" t="s">
        <v>8</v>
      </c>
      <c r="I34" s="272">
        <v>15</v>
      </c>
      <c r="J34" s="120" t="s">
        <v>40</v>
      </c>
      <c r="K34" s="272">
        <v>3</v>
      </c>
      <c r="L34" s="120" t="s">
        <v>40</v>
      </c>
      <c r="M34" s="511"/>
      <c r="N34" s="512"/>
      <c r="Q34" s="513"/>
      <c r="R34" s="116"/>
      <c r="S34" s="163"/>
      <c r="T34" s="120"/>
      <c r="U34" s="163"/>
      <c r="V34" s="120"/>
      <c r="W34" s="163"/>
      <c r="X34" s="120"/>
      <c r="Y34" s="163"/>
      <c r="Z34" s="120"/>
      <c r="AA34" s="163"/>
      <c r="AB34" s="120"/>
    </row>
    <row r="35" spans="1:28" ht="34.950000000000003" customHeight="1" thickBot="1" x14ac:dyDescent="0.4">
      <c r="B35" s="990"/>
      <c r="C35" s="991"/>
      <c r="D35" s="163"/>
      <c r="E35" s="120"/>
      <c r="F35" s="120"/>
      <c r="G35" s="233"/>
      <c r="H35" s="120"/>
      <c r="I35" s="298"/>
      <c r="J35" s="120"/>
      <c r="K35" s="120"/>
      <c r="L35" s="120"/>
      <c r="M35" s="511"/>
      <c r="N35" s="117"/>
      <c r="Q35" s="513"/>
      <c r="R35" s="1003" t="s">
        <v>43</v>
      </c>
      <c r="S35" s="653">
        <f>U35+W35+Y35+AA35</f>
        <v>5</v>
      </c>
      <c r="T35" s="120" t="s">
        <v>7</v>
      </c>
      <c r="U35" s="159"/>
      <c r="V35" s="120" t="s">
        <v>7</v>
      </c>
      <c r="W35" s="159">
        <v>1</v>
      </c>
      <c r="X35" s="120" t="s">
        <v>7</v>
      </c>
      <c r="Y35" s="159">
        <v>4</v>
      </c>
      <c r="Z35" s="120" t="s">
        <v>7</v>
      </c>
      <c r="AA35" s="159"/>
      <c r="AB35" s="120" t="s">
        <v>7</v>
      </c>
    </row>
    <row r="36" spans="1:28" ht="21.6" thickBot="1" x14ac:dyDescent="0.45">
      <c r="B36" s="362" t="s">
        <v>46</v>
      </c>
      <c r="C36" s="363"/>
      <c r="D36" s="1027" t="s">
        <v>10</v>
      </c>
      <c r="E36" s="1027"/>
      <c r="F36" s="118"/>
      <c r="G36" s="1015" t="s">
        <v>6</v>
      </c>
      <c r="H36" s="1015"/>
      <c r="I36" s="120"/>
      <c r="J36" s="120"/>
      <c r="K36" s="120"/>
      <c r="L36" s="120"/>
      <c r="M36" s="511"/>
      <c r="N36" s="117"/>
      <c r="Q36" s="513"/>
      <c r="R36" s="639" t="s">
        <v>38</v>
      </c>
      <c r="S36" s="653">
        <f>(U36*U35+W36*W35+Y36*Y35+AA36*AA35)/S35</f>
        <v>5800</v>
      </c>
      <c r="T36" s="120" t="s">
        <v>8</v>
      </c>
      <c r="U36" s="159"/>
      <c r="V36" s="120" t="s">
        <v>8</v>
      </c>
      <c r="W36" s="159">
        <v>3000</v>
      </c>
      <c r="X36" s="120" t="s">
        <v>8</v>
      </c>
      <c r="Y36" s="159">
        <v>6500</v>
      </c>
      <c r="Z36" s="120" t="s">
        <v>8</v>
      </c>
      <c r="AA36" s="159"/>
      <c r="AB36" s="120" t="s">
        <v>8</v>
      </c>
    </row>
    <row r="37" spans="1:28" ht="21" thickBot="1" x14ac:dyDescent="0.4">
      <c r="B37" s="1030" t="s">
        <v>47</v>
      </c>
      <c r="C37" s="1031"/>
      <c r="D37" s="159">
        <v>0</v>
      </c>
      <c r="E37" s="120" t="s">
        <v>7</v>
      </c>
      <c r="F37" s="120"/>
      <c r="G37" s="272">
        <v>0</v>
      </c>
      <c r="H37" s="120" t="s">
        <v>8</v>
      </c>
      <c r="I37" s="233"/>
      <c r="J37" s="120"/>
      <c r="K37" s="511" t="str">
        <f t="shared" ref="K37:K42" si="2">IF(AND(D37=0, G37&gt;0),"HUOM! Ei voi olla satoa, jos ei ole viljelyalaa!", " ")</f>
        <v xml:space="preserve"> </v>
      </c>
      <c r="L37" s="120"/>
      <c r="M37" s="511"/>
      <c r="N37" s="512"/>
      <c r="Q37" s="513"/>
      <c r="S37" s="163"/>
      <c r="T37" s="120"/>
      <c r="U37" s="163"/>
      <c r="V37" s="120"/>
      <c r="W37" s="163"/>
      <c r="X37" s="120"/>
      <c r="Y37" s="163"/>
      <c r="Z37" s="120"/>
      <c r="AA37" s="163"/>
      <c r="AB37" s="120"/>
    </row>
    <row r="38" spans="1:28" ht="21" thickBot="1" x14ac:dyDescent="0.4">
      <c r="B38" s="1032" t="s">
        <v>48</v>
      </c>
      <c r="C38" s="1033"/>
      <c r="D38" s="159">
        <v>0</v>
      </c>
      <c r="E38" s="120" t="s">
        <v>7</v>
      </c>
      <c r="F38" s="120"/>
      <c r="G38" s="272">
        <v>0</v>
      </c>
      <c r="H38" s="120" t="s">
        <v>8</v>
      </c>
      <c r="I38" s="233"/>
      <c r="J38" s="120"/>
      <c r="K38" s="511" t="str">
        <f t="shared" si="2"/>
        <v xml:space="preserve"> </v>
      </c>
      <c r="L38" s="120"/>
      <c r="M38" s="511"/>
      <c r="N38" s="512"/>
      <c r="Q38" s="513"/>
      <c r="R38" s="1004" t="s">
        <v>49</v>
      </c>
      <c r="S38" s="653">
        <f>U38+W38+Y38+AA38</f>
        <v>1</v>
      </c>
      <c r="T38" s="120" t="s">
        <v>7</v>
      </c>
      <c r="U38" s="159"/>
      <c r="V38" s="120" t="s">
        <v>7</v>
      </c>
      <c r="W38" s="159"/>
      <c r="X38" s="120" t="s">
        <v>7</v>
      </c>
      <c r="Y38" s="159">
        <v>1</v>
      </c>
      <c r="Z38" s="120" t="s">
        <v>7</v>
      </c>
      <c r="AA38" s="660"/>
      <c r="AB38" s="661" t="s">
        <v>7</v>
      </c>
    </row>
    <row r="39" spans="1:28" ht="21" thickBot="1" x14ac:dyDescent="0.4">
      <c r="B39" s="1028" t="s">
        <v>50</v>
      </c>
      <c r="C39" s="1029"/>
      <c r="D39" s="159">
        <v>0</v>
      </c>
      <c r="E39" s="120" t="s">
        <v>7</v>
      </c>
      <c r="F39" s="120"/>
      <c r="G39" s="272">
        <v>0</v>
      </c>
      <c r="H39" s="120" t="s">
        <v>8</v>
      </c>
      <c r="I39" s="233"/>
      <c r="J39" s="120"/>
      <c r="K39" s="511" t="str">
        <f t="shared" si="2"/>
        <v xml:space="preserve"> </v>
      </c>
      <c r="L39" s="120"/>
      <c r="M39" s="511"/>
      <c r="N39" s="512"/>
      <c r="Q39" s="513"/>
      <c r="R39" s="662" t="s">
        <v>38</v>
      </c>
      <c r="S39" s="653">
        <f>(U39*U38+W39*W38+Y39*Y38+AA39*AA38)/S38</f>
        <v>4500</v>
      </c>
      <c r="T39" s="120" t="s">
        <v>8</v>
      </c>
      <c r="U39" s="159"/>
      <c r="V39" s="120" t="s">
        <v>8</v>
      </c>
      <c r="W39" s="159"/>
      <c r="X39" s="120" t="s">
        <v>8</v>
      </c>
      <c r="Y39" s="159">
        <v>4500</v>
      </c>
      <c r="Z39" s="120" t="s">
        <v>8</v>
      </c>
      <c r="AA39" s="656"/>
      <c r="AB39" s="661" t="s">
        <v>8</v>
      </c>
    </row>
    <row r="40" spans="1:28" ht="21" thickBot="1" x14ac:dyDescent="0.4">
      <c r="B40" s="992" t="s">
        <v>51</v>
      </c>
      <c r="C40" s="993"/>
      <c r="D40" s="159">
        <v>0</v>
      </c>
      <c r="E40" s="120" t="s">
        <v>7</v>
      </c>
      <c r="F40" s="120"/>
      <c r="G40" s="272">
        <v>0</v>
      </c>
      <c r="H40" s="120" t="s">
        <v>8</v>
      </c>
      <c r="I40" s="233"/>
      <c r="J40" s="120"/>
      <c r="K40" s="511" t="str">
        <f t="shared" si="2"/>
        <v xml:space="preserve"> </v>
      </c>
      <c r="L40" s="120"/>
      <c r="M40" s="511"/>
      <c r="N40" s="512"/>
      <c r="Q40" s="513"/>
      <c r="S40" s="163"/>
      <c r="T40" s="120"/>
      <c r="U40" s="163"/>
      <c r="V40" s="120"/>
      <c r="W40" s="163"/>
      <c r="X40" s="120"/>
      <c r="Y40" s="163"/>
      <c r="Z40" s="120"/>
      <c r="AA40" s="163"/>
      <c r="AB40" s="120"/>
    </row>
    <row r="41" spans="1:28" ht="21" thickBot="1" x14ac:dyDescent="0.4">
      <c r="B41" s="994" t="s">
        <v>52</v>
      </c>
      <c r="C41" s="995"/>
      <c r="D41" s="159">
        <v>0</v>
      </c>
      <c r="E41" s="120" t="s">
        <v>7</v>
      </c>
      <c r="F41" s="120"/>
      <c r="G41" s="272">
        <v>0</v>
      </c>
      <c r="H41" s="120" t="s">
        <v>8</v>
      </c>
      <c r="I41" s="120"/>
      <c r="J41" s="120"/>
      <c r="K41" s="511" t="str">
        <f t="shared" si="2"/>
        <v xml:space="preserve"> </v>
      </c>
      <c r="L41" s="120"/>
      <c r="M41" s="511"/>
      <c r="N41" s="512"/>
      <c r="Q41" s="513"/>
      <c r="R41" s="1005" t="s">
        <v>45</v>
      </c>
      <c r="S41" s="653">
        <f>U41+W41+Y41+AA41</f>
        <v>3</v>
      </c>
      <c r="T41" s="120" t="s">
        <v>7</v>
      </c>
      <c r="U41" s="159">
        <v>0.5</v>
      </c>
      <c r="V41" s="120" t="s">
        <v>7</v>
      </c>
      <c r="W41" s="159">
        <v>0.5</v>
      </c>
      <c r="X41" s="120" t="s">
        <v>7</v>
      </c>
      <c r="Y41" s="159">
        <v>2</v>
      </c>
      <c r="Z41" s="120" t="s">
        <v>7</v>
      </c>
      <c r="AA41" s="660"/>
      <c r="AB41" s="661" t="s">
        <v>7</v>
      </c>
    </row>
    <row r="42" spans="1:28" ht="21" thickBot="1" x14ac:dyDescent="0.4">
      <c r="B42" s="996" t="s">
        <v>53</v>
      </c>
      <c r="C42" s="997"/>
      <c r="D42" s="159">
        <v>0</v>
      </c>
      <c r="E42" s="120" t="s">
        <v>7</v>
      </c>
      <c r="F42" s="120"/>
      <c r="G42" s="272">
        <v>0</v>
      </c>
      <c r="H42" s="120" t="s">
        <v>8</v>
      </c>
      <c r="I42" s="120"/>
      <c r="J42" s="120"/>
      <c r="K42" s="511" t="str">
        <f t="shared" si="2"/>
        <v xml:space="preserve"> </v>
      </c>
      <c r="L42" s="120"/>
      <c r="M42" s="511"/>
      <c r="N42" s="512"/>
      <c r="Q42" s="513"/>
      <c r="R42" s="306" t="s">
        <v>38</v>
      </c>
      <c r="S42" s="653">
        <f>(U42*U41+W42*W41+Y42*Y41+AA42*AA41)/S41</f>
        <v>13666.666666666666</v>
      </c>
      <c r="T42" s="120" t="s">
        <v>8</v>
      </c>
      <c r="U42" s="159"/>
      <c r="V42" s="120" t="s">
        <v>8</v>
      </c>
      <c r="W42" s="159">
        <v>2000</v>
      </c>
      <c r="X42" s="120" t="s">
        <v>8</v>
      </c>
      <c r="Y42" s="159">
        <v>20000</v>
      </c>
      <c r="Z42" s="120" t="s">
        <v>8</v>
      </c>
      <c r="AA42" s="656"/>
      <c r="AB42" s="661" t="s">
        <v>8</v>
      </c>
    </row>
    <row r="43" spans="1:28" ht="18" x14ac:dyDescent="0.35">
      <c r="B43" s="164" t="s">
        <v>54</v>
      </c>
      <c r="C43" s="157"/>
      <c r="D43" s="161">
        <f>SUM(D9,D12:D21,D23,D28:D34,D37:D42)</f>
        <v>47</v>
      </c>
      <c r="E43" s="158" t="s">
        <v>7</v>
      </c>
      <c r="F43" s="158"/>
      <c r="G43" s="120"/>
      <c r="H43" s="120"/>
      <c r="I43" s="116"/>
      <c r="J43" s="116"/>
      <c r="K43" s="116"/>
      <c r="L43" s="116"/>
      <c r="M43" s="116"/>
      <c r="N43" s="117"/>
    </row>
    <row r="44" spans="1:28" ht="18" x14ac:dyDescent="0.35">
      <c r="B44" s="164"/>
      <c r="C44" s="157"/>
      <c r="D44" s="161"/>
      <c r="E44" s="158"/>
      <c r="F44" s="158"/>
      <c r="G44" s="158"/>
      <c r="H44" s="120"/>
      <c r="I44" s="120"/>
      <c r="J44" s="120"/>
      <c r="K44" s="116"/>
      <c r="L44" s="116"/>
      <c r="M44" s="116"/>
      <c r="N44" s="117"/>
    </row>
    <row r="45" spans="1:28" ht="34.950000000000003" customHeight="1" x14ac:dyDescent="0.35">
      <c r="B45" s="164"/>
      <c r="C45" s="157"/>
      <c r="D45" s="161"/>
      <c r="E45" s="158"/>
      <c r="F45" s="162"/>
      <c r="G45" s="161"/>
      <c r="H45" s="158"/>
      <c r="I45" s="120"/>
      <c r="J45" s="120"/>
      <c r="K45" s="120"/>
      <c r="L45" s="116"/>
      <c r="M45" s="116"/>
      <c r="N45" s="117"/>
    </row>
    <row r="46" spans="1:28" ht="18" thickBot="1" x14ac:dyDescent="0.35">
      <c r="B46" s="165"/>
      <c r="C46" s="156"/>
      <c r="D46" s="120"/>
      <c r="E46" s="120"/>
      <c r="F46" s="120"/>
      <c r="H46" s="120"/>
      <c r="I46" s="120"/>
      <c r="J46" s="120"/>
      <c r="K46" s="120"/>
      <c r="L46" s="116"/>
      <c r="M46" s="116"/>
      <c r="N46" s="117"/>
    </row>
    <row r="47" spans="1:28" ht="18" thickBot="1" x14ac:dyDescent="0.35">
      <c r="B47" s="165" t="s">
        <v>55</v>
      </c>
      <c r="C47" s="156"/>
      <c r="D47" s="159">
        <v>25</v>
      </c>
      <c r="E47" s="120" t="s">
        <v>7</v>
      </c>
      <c r="F47" s="120"/>
      <c r="G47" s="120"/>
      <c r="H47" s="120"/>
      <c r="I47" s="120"/>
      <c r="J47" s="120"/>
      <c r="K47" s="120"/>
      <c r="L47" s="116"/>
      <c r="M47" s="116"/>
      <c r="N47" s="117"/>
    </row>
    <row r="48" spans="1:28" ht="19.2" customHeight="1" thickBot="1" x14ac:dyDescent="0.35">
      <c r="B48" s="165" t="s">
        <v>56</v>
      </c>
      <c r="C48" s="156"/>
      <c r="D48" s="159">
        <v>22</v>
      </c>
      <c r="E48" s="120" t="s">
        <v>7</v>
      </c>
      <c r="F48" s="120"/>
      <c r="G48" s="72">
        <v>400</v>
      </c>
      <c r="H48" s="120" t="s">
        <v>57</v>
      </c>
      <c r="I48" s="120"/>
      <c r="J48" s="120"/>
      <c r="K48" s="1023" t="str">
        <f>IF(D43=D49," ","HUOM! Viljelykasvien alojen summa ja oman sekä vuokrapellon summa eivät täsmää.")</f>
        <v xml:space="preserve"> </v>
      </c>
      <c r="L48" s="1023"/>
      <c r="M48" s="1023"/>
      <c r="N48" s="1024"/>
    </row>
    <row r="49" spans="2:17" ht="18" x14ac:dyDescent="0.35">
      <c r="B49" s="166" t="s">
        <v>58</v>
      </c>
      <c r="C49" s="167"/>
      <c r="D49" s="168">
        <f>SUM(D47:D48)</f>
        <v>47</v>
      </c>
      <c r="E49" s="169" t="s">
        <v>7</v>
      </c>
      <c r="F49" s="169"/>
      <c r="G49" s="170"/>
      <c r="H49" s="121"/>
      <c r="I49" s="121"/>
      <c r="J49" s="121"/>
      <c r="K49" s="1025"/>
      <c r="L49" s="1025"/>
      <c r="M49" s="1025"/>
      <c r="N49" s="1026"/>
    </row>
    <row r="50" spans="2:17" ht="61.95" customHeight="1" x14ac:dyDescent="0.3"/>
    <row r="51" spans="2:17" ht="25.2" thickBot="1" x14ac:dyDescent="0.45">
      <c r="B51" s="998" t="s">
        <v>59</v>
      </c>
      <c r="C51" s="122"/>
      <c r="D51" s="123"/>
      <c r="E51" s="123"/>
      <c r="F51" s="123"/>
      <c r="G51" s="123"/>
      <c r="H51" s="123"/>
      <c r="I51" s="123"/>
      <c r="J51" s="123"/>
      <c r="K51" s="123"/>
      <c r="L51" s="123"/>
      <c r="M51" s="123"/>
      <c r="N51" s="123"/>
      <c r="O51" s="123"/>
      <c r="P51" s="123"/>
      <c r="Q51" s="124"/>
    </row>
    <row r="52" spans="2:17" ht="21" x14ac:dyDescent="0.4">
      <c r="B52" s="125"/>
      <c r="C52" s="110"/>
      <c r="D52" s="67"/>
      <c r="E52" s="67"/>
      <c r="F52" s="67"/>
      <c r="G52" s="67"/>
      <c r="H52" s="67"/>
      <c r="I52" s="67"/>
      <c r="J52" s="67"/>
      <c r="K52" s="67"/>
      <c r="L52" s="67"/>
      <c r="M52" s="67"/>
      <c r="N52" s="67"/>
      <c r="O52" s="67"/>
      <c r="P52" s="67"/>
      <c r="Q52" s="126"/>
    </row>
    <row r="53" spans="2:17" ht="43.95" customHeight="1" x14ac:dyDescent="0.3">
      <c r="B53" s="1047" t="s">
        <v>60</v>
      </c>
      <c r="C53" s="1048"/>
      <c r="D53" s="1048"/>
      <c r="E53" s="1048"/>
      <c r="F53" s="1048"/>
      <c r="G53" s="1048"/>
      <c r="H53" s="1048"/>
      <c r="I53" s="1048"/>
      <c r="J53" s="1048"/>
      <c r="K53" s="1048"/>
      <c r="L53" s="1048"/>
      <c r="M53" s="1048"/>
      <c r="N53" s="1048"/>
      <c r="O53" s="1048"/>
      <c r="P53" s="1048"/>
      <c r="Q53" s="1049"/>
    </row>
    <row r="54" spans="2:17" ht="21" x14ac:dyDescent="0.4">
      <c r="B54" s="125"/>
      <c r="C54" s="110"/>
      <c r="D54" s="67"/>
      <c r="E54" s="67"/>
      <c r="F54" s="67"/>
      <c r="G54" s="127"/>
      <c r="H54" s="127"/>
      <c r="I54" s="67"/>
      <c r="J54" s="67"/>
      <c r="K54" s="67"/>
      <c r="L54" s="67"/>
      <c r="M54" s="67"/>
      <c r="N54" s="67"/>
      <c r="O54" s="67"/>
      <c r="P54" s="67"/>
      <c r="Q54" s="126"/>
    </row>
    <row r="55" spans="2:17" ht="40.950000000000003" customHeight="1" thickBot="1" x14ac:dyDescent="0.45">
      <c r="B55" s="125"/>
      <c r="C55" s="110"/>
      <c r="D55" s="67"/>
      <c r="E55" s="67"/>
      <c r="F55" s="67"/>
      <c r="G55" s="1044" t="s">
        <v>61</v>
      </c>
      <c r="H55" s="1044"/>
      <c r="I55" s="67"/>
      <c r="J55" s="67"/>
      <c r="K55" s="67"/>
      <c r="L55" s="67"/>
      <c r="M55" s="67"/>
      <c r="N55" s="67"/>
      <c r="O55" s="67"/>
      <c r="P55" s="67"/>
      <c r="Q55" s="126"/>
    </row>
    <row r="56" spans="2:17" ht="18" thickBot="1" x14ac:dyDescent="0.35">
      <c r="B56" s="299" t="s">
        <v>62</v>
      </c>
      <c r="C56" s="300"/>
      <c r="D56" s="300"/>
      <c r="E56" s="300"/>
      <c r="F56" s="300"/>
      <c r="G56" s="1045" t="s">
        <v>63</v>
      </c>
      <c r="H56" s="1046"/>
      <c r="I56" s="67"/>
      <c r="J56" s="67"/>
      <c r="K56" s="67"/>
      <c r="L56" s="67"/>
      <c r="M56" s="67"/>
      <c r="N56" s="67"/>
      <c r="O56" s="67"/>
      <c r="P56" s="67"/>
      <c r="Q56" s="126"/>
    </row>
    <row r="57" spans="2:17" ht="18" thickBot="1" x14ac:dyDescent="0.35">
      <c r="B57" s="299" t="s">
        <v>64</v>
      </c>
      <c r="C57" s="300"/>
      <c r="D57" s="300"/>
      <c r="E57" s="300"/>
      <c r="F57" s="300"/>
      <c r="G57" s="1045" t="s">
        <v>65</v>
      </c>
      <c r="H57" s="1046"/>
      <c r="I57" s="67"/>
      <c r="J57" s="67"/>
      <c r="K57" s="67"/>
      <c r="L57" s="67"/>
      <c r="M57" s="67"/>
      <c r="N57" s="67"/>
      <c r="O57" s="67"/>
      <c r="P57" s="67"/>
      <c r="Q57" s="126"/>
    </row>
    <row r="58" spans="2:17" ht="20.399999999999999" x14ac:dyDescent="0.35">
      <c r="B58" s="128"/>
      <c r="C58" s="129"/>
      <c r="D58" s="129"/>
      <c r="E58" s="129"/>
      <c r="F58" s="129"/>
      <c r="G58" s="130"/>
      <c r="H58" s="130"/>
      <c r="I58" s="129"/>
      <c r="J58" s="129"/>
      <c r="K58" s="129"/>
      <c r="L58" s="129"/>
      <c r="M58" s="129"/>
      <c r="N58" s="129"/>
      <c r="O58" s="129"/>
      <c r="P58" s="129"/>
      <c r="Q58" s="131"/>
    </row>
    <row r="59" spans="2:17" ht="49.2" customHeight="1" x14ac:dyDescent="0.3"/>
    <row r="60" spans="2:17" ht="25.2" thickBot="1" x14ac:dyDescent="0.45">
      <c r="B60" s="1054" t="s">
        <v>66</v>
      </c>
      <c r="C60" s="1055"/>
      <c r="D60" s="135"/>
      <c r="E60" s="135"/>
      <c r="F60" s="135"/>
      <c r="G60" s="135"/>
      <c r="H60" s="135"/>
      <c r="I60" s="135"/>
      <c r="J60" s="135"/>
      <c r="K60" s="135"/>
      <c r="L60" s="135"/>
      <c r="M60" s="135"/>
      <c r="N60" s="135"/>
      <c r="O60" s="135"/>
      <c r="P60" s="135"/>
      <c r="Q60" s="136"/>
    </row>
    <row r="61" spans="2:17" ht="21" x14ac:dyDescent="0.4">
      <c r="B61" s="137"/>
      <c r="C61" s="133"/>
      <c r="D61" s="138"/>
      <c r="E61" s="138"/>
      <c r="F61" s="138"/>
      <c r="G61" s="138"/>
      <c r="H61" s="138"/>
      <c r="I61" s="138"/>
      <c r="J61" s="138"/>
      <c r="K61" s="138"/>
      <c r="L61" s="138"/>
      <c r="M61" s="138"/>
      <c r="N61" s="138"/>
      <c r="O61" s="138"/>
      <c r="P61" s="138"/>
      <c r="Q61" s="139"/>
    </row>
    <row r="62" spans="2:17" ht="66" customHeight="1" x14ac:dyDescent="0.3">
      <c r="B62" s="1056" t="s">
        <v>67</v>
      </c>
      <c r="C62" s="1057"/>
      <c r="D62" s="1057"/>
      <c r="E62" s="1057"/>
      <c r="F62" s="1057"/>
      <c r="G62" s="1057"/>
      <c r="H62" s="1057"/>
      <c r="I62" s="1057"/>
      <c r="J62" s="1057"/>
      <c r="K62" s="1057"/>
      <c r="L62" s="1057"/>
      <c r="M62" s="1057"/>
      <c r="N62" s="134"/>
      <c r="O62" s="134"/>
      <c r="P62" s="138"/>
      <c r="Q62" s="139"/>
    </row>
    <row r="63" spans="2:17" ht="19.2" customHeight="1" x14ac:dyDescent="0.3">
      <c r="B63" s="140"/>
      <c r="C63" s="134"/>
      <c r="D63" s="134"/>
      <c r="E63" s="134"/>
      <c r="F63" s="134"/>
      <c r="G63" s="134"/>
      <c r="H63" s="134"/>
      <c r="I63" s="134"/>
      <c r="J63" s="134"/>
      <c r="K63" s="134"/>
      <c r="L63" s="134"/>
      <c r="M63" s="134"/>
      <c r="N63" s="134"/>
      <c r="O63" s="134"/>
      <c r="P63" s="138"/>
      <c r="Q63" s="139"/>
    </row>
    <row r="64" spans="2:17" ht="177" customHeight="1" x14ac:dyDescent="0.3">
      <c r="B64" s="1056" t="s">
        <v>68</v>
      </c>
      <c r="C64" s="1057"/>
      <c r="D64" s="1057"/>
      <c r="E64" s="1057"/>
      <c r="F64" s="1057"/>
      <c r="G64" s="1057"/>
      <c r="H64" s="1057"/>
      <c r="I64" s="1057"/>
      <c r="J64" s="1057"/>
      <c r="K64" s="1057"/>
      <c r="L64" s="1057"/>
      <c r="M64" s="1057"/>
      <c r="N64" s="134"/>
      <c r="O64" s="134"/>
      <c r="P64" s="138"/>
      <c r="Q64" s="139"/>
    </row>
    <row r="65" spans="2:31" ht="37.950000000000003" customHeight="1" x14ac:dyDescent="0.4">
      <c r="B65" s="137"/>
      <c r="C65" s="133"/>
      <c r="D65" s="138"/>
      <c r="E65" s="138"/>
      <c r="F65" s="138"/>
      <c r="G65" s="138"/>
      <c r="H65" s="138"/>
      <c r="I65" s="138"/>
      <c r="J65" s="138"/>
      <c r="K65" s="138"/>
      <c r="L65" s="138"/>
      <c r="M65" s="138"/>
      <c r="N65" s="138"/>
      <c r="O65" s="138"/>
      <c r="P65" s="138"/>
      <c r="Q65" s="139"/>
    </row>
    <row r="66" spans="2:31" x14ac:dyDescent="0.3">
      <c r="B66" s="1050" t="s">
        <v>69</v>
      </c>
      <c r="C66" s="1051"/>
      <c r="D66" s="138"/>
      <c r="E66" s="138"/>
      <c r="F66" s="138"/>
      <c r="G66" s="138"/>
      <c r="H66" s="138"/>
      <c r="I66" s="138"/>
      <c r="J66" s="138"/>
      <c r="K66" s="138"/>
      <c r="L66" s="138"/>
      <c r="M66" s="138"/>
      <c r="N66" s="138"/>
      <c r="O66" s="138"/>
      <c r="P66" s="138"/>
      <c r="Q66" s="139"/>
    </row>
    <row r="67" spans="2:31" ht="87" customHeight="1" x14ac:dyDescent="0.25">
      <c r="B67" s="1021" t="s">
        <v>70</v>
      </c>
      <c r="C67" s="1022"/>
      <c r="D67" s="1022"/>
      <c r="E67" s="1022"/>
      <c r="F67" s="1022"/>
      <c r="G67" s="1022"/>
      <c r="H67" s="1022"/>
      <c r="I67" s="1022"/>
      <c r="J67" s="1022"/>
      <c r="K67" s="1022"/>
      <c r="L67" s="1022"/>
      <c r="M67" s="138"/>
      <c r="N67" s="138"/>
      <c r="O67" s="138"/>
      <c r="P67" s="138"/>
      <c r="Q67" s="139"/>
    </row>
    <row r="68" spans="2:31" x14ac:dyDescent="0.3">
      <c r="B68" s="389"/>
      <c r="C68" s="390"/>
      <c r="D68" s="138"/>
      <c r="E68" s="138"/>
      <c r="F68" s="138"/>
      <c r="G68" s="138"/>
      <c r="H68" s="138"/>
      <c r="I68" s="138"/>
      <c r="J68" s="138"/>
      <c r="K68" s="138"/>
      <c r="L68" s="138"/>
      <c r="M68" s="138"/>
      <c r="N68" s="138"/>
      <c r="O68" s="138"/>
      <c r="P68" s="138"/>
      <c r="Q68" s="139"/>
    </row>
    <row r="69" spans="2:31" ht="18" thickBot="1" x14ac:dyDescent="0.35">
      <c r="B69" s="141"/>
      <c r="C69" s="142"/>
      <c r="D69" s="142" t="s">
        <v>71</v>
      </c>
      <c r="E69" s="142"/>
      <c r="F69" s="142"/>
      <c r="G69" s="142"/>
      <c r="H69" s="142"/>
      <c r="I69" s="142"/>
      <c r="J69" s="172" t="s">
        <v>72</v>
      </c>
      <c r="K69" s="142"/>
      <c r="L69" s="142"/>
      <c r="M69" s="142"/>
      <c r="N69" s="142"/>
      <c r="O69" s="142"/>
      <c r="P69" s="138"/>
      <c r="Q69" s="139"/>
    </row>
    <row r="70" spans="2:31" s="594" customFormat="1" ht="20.399999999999999" thickBot="1" x14ac:dyDescent="0.35">
      <c r="B70" s="605"/>
      <c r="C70" s="593" t="s">
        <v>73</v>
      </c>
      <c r="D70" s="593">
        <v>111000</v>
      </c>
      <c r="E70" s="606" t="s">
        <v>74</v>
      </c>
      <c r="F70" s="606"/>
      <c r="G70" s="606"/>
      <c r="H70" s="606"/>
      <c r="I70" s="606"/>
      <c r="J70" s="593">
        <v>2000</v>
      </c>
      <c r="K70" s="606"/>
      <c r="L70" s="606"/>
      <c r="M70" s="606"/>
      <c r="N70" s="606"/>
      <c r="O70" s="606"/>
      <c r="P70" s="607"/>
      <c r="Q70" s="608"/>
      <c r="R70"/>
      <c r="S70"/>
      <c r="T70"/>
      <c r="U70"/>
      <c r="V70"/>
      <c r="W70"/>
      <c r="X70"/>
      <c r="Y70"/>
      <c r="Z70"/>
      <c r="AA70"/>
      <c r="AB70"/>
      <c r="AC70" s="13"/>
      <c r="AD70"/>
      <c r="AE70"/>
    </row>
    <row r="71" spans="2:31" s="594" customFormat="1" ht="20.399999999999999" thickBot="1" x14ac:dyDescent="0.35">
      <c r="B71" s="605"/>
      <c r="C71" s="593" t="s">
        <v>75</v>
      </c>
      <c r="D71" s="593">
        <v>44000</v>
      </c>
      <c r="E71" s="606" t="s">
        <v>74</v>
      </c>
      <c r="F71" s="606"/>
      <c r="G71" s="606"/>
      <c r="H71" s="606"/>
      <c r="I71" s="606"/>
      <c r="J71" s="593">
        <v>2008</v>
      </c>
      <c r="K71" s="606"/>
      <c r="L71" s="606"/>
      <c r="M71" s="606"/>
      <c r="N71" s="606"/>
      <c r="O71" s="606"/>
      <c r="P71" s="607"/>
      <c r="Q71" s="608"/>
      <c r="R71"/>
      <c r="S71"/>
      <c r="T71"/>
      <c r="U71"/>
      <c r="V71"/>
      <c r="W71"/>
      <c r="X71"/>
      <c r="Y71"/>
      <c r="Z71"/>
      <c r="AA71"/>
      <c r="AB71"/>
      <c r="AC71" s="13"/>
      <c r="AD71"/>
      <c r="AE71"/>
    </row>
    <row r="72" spans="2:31" ht="20.399999999999999" thickBot="1" x14ac:dyDescent="0.35">
      <c r="B72" s="141"/>
      <c r="C72" s="72" t="s">
        <v>76</v>
      </c>
      <c r="D72" s="173">
        <v>75000</v>
      </c>
      <c r="E72" s="142" t="s">
        <v>74</v>
      </c>
      <c r="F72" s="142"/>
      <c r="G72" s="142"/>
      <c r="H72" s="142"/>
      <c r="I72" s="142"/>
      <c r="J72" s="72">
        <v>2008</v>
      </c>
      <c r="K72" s="142"/>
      <c r="L72" s="142"/>
      <c r="M72" s="142"/>
      <c r="N72" s="142"/>
      <c r="O72" s="142"/>
      <c r="P72" s="138"/>
      <c r="Q72" s="139"/>
      <c r="AD72" s="594"/>
      <c r="AE72" s="594"/>
    </row>
    <row r="73" spans="2:31" s="594" customFormat="1" ht="20.399999999999999" thickBot="1" x14ac:dyDescent="0.35">
      <c r="B73" s="605"/>
      <c r="C73" s="593" t="s">
        <v>77</v>
      </c>
      <c r="D73" s="593">
        <v>80000</v>
      </c>
      <c r="E73" s="606" t="s">
        <v>74</v>
      </c>
      <c r="F73" s="606"/>
      <c r="G73" s="606"/>
      <c r="H73" s="606"/>
      <c r="I73" s="606"/>
      <c r="J73" s="593">
        <v>2010</v>
      </c>
      <c r="K73" s="606"/>
      <c r="L73" s="606"/>
      <c r="M73" s="606"/>
      <c r="N73" s="606"/>
      <c r="O73" s="606"/>
      <c r="P73" s="607"/>
      <c r="Q73" s="608"/>
      <c r="R73"/>
      <c r="S73"/>
      <c r="T73"/>
      <c r="U73"/>
      <c r="V73"/>
      <c r="W73"/>
      <c r="X73"/>
      <c r="Y73"/>
      <c r="Z73"/>
      <c r="AA73"/>
      <c r="AB73"/>
      <c r="AC73" s="13"/>
    </row>
    <row r="74" spans="2:31" s="594" customFormat="1" ht="18" thickBot="1" x14ac:dyDescent="0.35">
      <c r="B74" s="605"/>
      <c r="C74" s="593" t="s">
        <v>78</v>
      </c>
      <c r="D74" s="593">
        <v>100000</v>
      </c>
      <c r="E74" s="606" t="s">
        <v>74</v>
      </c>
      <c r="F74" s="606"/>
      <c r="G74" s="606"/>
      <c r="H74" s="606"/>
      <c r="I74" s="606"/>
      <c r="J74" s="593">
        <v>2020</v>
      </c>
      <c r="K74" s="606"/>
      <c r="L74" s="606"/>
      <c r="M74" s="606"/>
      <c r="N74" s="606"/>
      <c r="O74" s="606"/>
      <c r="P74" s="607"/>
      <c r="Q74" s="608"/>
      <c r="R74"/>
      <c r="S74"/>
      <c r="T74"/>
      <c r="U74"/>
      <c r="V74"/>
      <c r="W74"/>
      <c r="X74"/>
      <c r="Y74"/>
      <c r="Z74"/>
      <c r="AA74"/>
      <c r="AB74"/>
      <c r="AC74" s="13"/>
    </row>
    <row r="75" spans="2:31" s="594" customFormat="1" ht="18" thickBot="1" x14ac:dyDescent="0.35">
      <c r="B75" s="605"/>
      <c r="C75" s="685" t="s">
        <v>79</v>
      </c>
      <c r="D75" s="685">
        <v>35000</v>
      </c>
      <c r="E75" s="687" t="s">
        <v>74</v>
      </c>
      <c r="F75" s="606"/>
      <c r="G75" s="606"/>
      <c r="H75" s="606"/>
      <c r="I75" s="606"/>
      <c r="J75" s="685">
        <v>2018</v>
      </c>
      <c r="K75" s="606"/>
      <c r="L75" s="606"/>
      <c r="M75" s="606"/>
      <c r="N75" s="606"/>
      <c r="O75" s="606"/>
      <c r="P75" s="607"/>
      <c r="Q75" s="608"/>
      <c r="R75"/>
      <c r="S75"/>
      <c r="T75"/>
      <c r="U75"/>
      <c r="V75"/>
      <c r="W75"/>
      <c r="X75"/>
      <c r="Y75"/>
      <c r="Z75"/>
      <c r="AA75"/>
      <c r="AB75"/>
      <c r="AC75" s="13"/>
    </row>
    <row r="76" spans="2:31" s="594" customFormat="1" ht="18" thickBot="1" x14ac:dyDescent="0.35">
      <c r="B76" s="605"/>
      <c r="C76" s="685" t="s">
        <v>80</v>
      </c>
      <c r="D76" s="685">
        <v>66000</v>
      </c>
      <c r="E76" s="687" t="s">
        <v>74</v>
      </c>
      <c r="F76" s="606"/>
      <c r="G76" s="606"/>
      <c r="H76" s="606"/>
      <c r="I76" s="606"/>
      <c r="J76" s="685">
        <v>2018</v>
      </c>
      <c r="K76" s="606"/>
      <c r="L76" s="606"/>
      <c r="M76" s="606"/>
      <c r="N76" s="606"/>
      <c r="O76" s="606"/>
      <c r="P76" s="607"/>
      <c r="Q76" s="608"/>
      <c r="R76"/>
      <c r="S76"/>
      <c r="T76"/>
      <c r="U76"/>
      <c r="V76"/>
      <c r="W76"/>
      <c r="X76"/>
      <c r="Y76"/>
      <c r="Z76"/>
      <c r="AA76"/>
      <c r="AB76"/>
      <c r="AC76" s="13"/>
    </row>
    <row r="77" spans="2:31" s="594" customFormat="1" ht="18" thickBot="1" x14ac:dyDescent="0.35">
      <c r="B77" s="605"/>
      <c r="C77" s="593" t="s">
        <v>81</v>
      </c>
      <c r="D77" s="593"/>
      <c r="E77" s="606" t="s">
        <v>74</v>
      </c>
      <c r="F77" s="606"/>
      <c r="G77" s="606"/>
      <c r="H77" s="606"/>
      <c r="I77" s="606"/>
      <c r="J77" s="593"/>
      <c r="K77" s="606"/>
      <c r="L77" s="606"/>
      <c r="M77" s="606"/>
      <c r="N77" s="606"/>
      <c r="O77" s="606"/>
      <c r="P77" s="607"/>
      <c r="Q77" s="608"/>
      <c r="R77"/>
      <c r="S77"/>
      <c r="T77"/>
      <c r="U77"/>
      <c r="V77"/>
      <c r="W77"/>
      <c r="X77"/>
      <c r="Y77"/>
      <c r="Z77"/>
      <c r="AA77"/>
      <c r="AB77"/>
      <c r="AC77" s="13"/>
      <c r="AD77"/>
      <c r="AE77"/>
    </row>
    <row r="78" spans="2:31" s="594" customFormat="1" ht="18" thickBot="1" x14ac:dyDescent="0.35">
      <c r="B78" s="605"/>
      <c r="C78" s="593" t="s">
        <v>81</v>
      </c>
      <c r="D78" s="593"/>
      <c r="E78" s="606" t="s">
        <v>74</v>
      </c>
      <c r="F78" s="606"/>
      <c r="G78" s="606"/>
      <c r="H78" s="606"/>
      <c r="I78" s="606"/>
      <c r="J78" s="593"/>
      <c r="K78" s="606"/>
      <c r="L78" s="606"/>
      <c r="M78" s="606"/>
      <c r="N78" s="606"/>
      <c r="O78" s="606"/>
      <c r="P78" s="607"/>
      <c r="Q78" s="608"/>
      <c r="R78"/>
      <c r="S78"/>
      <c r="T78"/>
      <c r="U78"/>
      <c r="V78"/>
      <c r="W78"/>
      <c r="X78"/>
      <c r="Y78"/>
      <c r="Z78"/>
      <c r="AA78"/>
      <c r="AB78"/>
      <c r="AC78" s="13"/>
    </row>
    <row r="79" spans="2:31" ht="18" thickBot="1" x14ac:dyDescent="0.35">
      <c r="B79" s="141"/>
      <c r="C79" s="72" t="s">
        <v>82</v>
      </c>
      <c r="D79" s="72"/>
      <c r="E79" s="142" t="s">
        <v>74</v>
      </c>
      <c r="F79" s="142"/>
      <c r="G79" s="142"/>
      <c r="H79" s="142"/>
      <c r="I79" s="142"/>
      <c r="J79" s="72"/>
      <c r="K79" s="142"/>
      <c r="L79" s="142"/>
      <c r="M79" s="142"/>
      <c r="N79" s="142"/>
      <c r="O79" s="142"/>
      <c r="P79" s="138"/>
      <c r="Q79" s="139"/>
      <c r="AD79" s="594"/>
      <c r="AE79" s="594"/>
    </row>
    <row r="80" spans="2:31" ht="18" thickBot="1" x14ac:dyDescent="0.35">
      <c r="B80" s="141"/>
      <c r="C80" s="72" t="s">
        <v>82</v>
      </c>
      <c r="D80" s="72"/>
      <c r="E80" s="142" t="s">
        <v>74</v>
      </c>
      <c r="F80" s="142"/>
      <c r="G80" s="142"/>
      <c r="H80" s="142"/>
      <c r="I80" s="142"/>
      <c r="J80" s="72"/>
      <c r="K80" s="142"/>
      <c r="L80" s="142"/>
      <c r="M80" s="142"/>
      <c r="N80" s="142"/>
      <c r="O80" s="142"/>
      <c r="P80" s="138"/>
      <c r="Q80" s="139"/>
      <c r="AD80" s="594"/>
      <c r="AE80" s="594"/>
    </row>
    <row r="81" spans="2:31" ht="49.2" customHeight="1" x14ac:dyDescent="0.3">
      <c r="B81" s="141"/>
      <c r="C81" s="142"/>
      <c r="D81" s="142"/>
      <c r="E81" s="142"/>
      <c r="F81" s="142"/>
      <c r="G81" s="142"/>
      <c r="H81" s="142"/>
      <c r="I81" s="142"/>
      <c r="J81" s="142"/>
      <c r="K81" s="142"/>
      <c r="L81" s="142"/>
      <c r="M81" s="142"/>
      <c r="N81" s="142"/>
      <c r="O81" s="142"/>
      <c r="P81" s="138"/>
      <c r="Q81" s="139"/>
    </row>
    <row r="82" spans="2:31" x14ac:dyDescent="0.3">
      <c r="B82" s="1050" t="s">
        <v>83</v>
      </c>
      <c r="C82" s="1051"/>
      <c r="D82" s="142"/>
      <c r="E82" s="142"/>
      <c r="F82" s="142"/>
      <c r="G82" s="142"/>
      <c r="H82" s="142"/>
      <c r="I82" s="142"/>
      <c r="J82" s="142"/>
      <c r="K82" s="142"/>
      <c r="L82" s="142"/>
      <c r="M82" s="142"/>
      <c r="N82" s="142"/>
      <c r="O82" s="142"/>
      <c r="P82" s="138"/>
      <c r="Q82" s="139"/>
      <c r="R82" s="594"/>
      <c r="S82" s="594"/>
      <c r="T82" s="594"/>
    </row>
    <row r="83" spans="2:31" ht="76.2" customHeight="1" x14ac:dyDescent="0.3">
      <c r="B83" s="1021" t="s">
        <v>84</v>
      </c>
      <c r="C83" s="1022"/>
      <c r="D83" s="1022"/>
      <c r="E83" s="1022"/>
      <c r="F83" s="1022"/>
      <c r="G83" s="1022"/>
      <c r="H83" s="1022"/>
      <c r="I83" s="1022"/>
      <c r="J83" s="1022"/>
      <c r="K83" s="1022"/>
      <c r="L83" s="1022"/>
      <c r="M83" s="142"/>
      <c r="N83" s="142"/>
      <c r="O83" s="142"/>
      <c r="P83" s="138"/>
      <c r="Q83" s="139"/>
      <c r="R83" s="594"/>
      <c r="S83" s="594"/>
      <c r="T83" s="594"/>
    </row>
    <row r="84" spans="2:31" x14ac:dyDescent="0.3">
      <c r="B84" s="389"/>
      <c r="C84" s="390"/>
      <c r="D84" s="142"/>
      <c r="E84" s="142"/>
      <c r="F84" s="142"/>
      <c r="G84" s="142"/>
      <c r="H84" s="142"/>
      <c r="I84" s="142"/>
      <c r="J84" s="142"/>
      <c r="K84" s="142"/>
      <c r="L84" s="142"/>
      <c r="M84" s="142"/>
      <c r="N84" s="142"/>
      <c r="O84" s="142"/>
      <c r="P84" s="138"/>
      <c r="Q84" s="139"/>
      <c r="U84" s="594"/>
      <c r="V84" s="594"/>
      <c r="W84" s="594"/>
      <c r="X84" s="594"/>
      <c r="Y84" s="594"/>
      <c r="Z84" s="594"/>
      <c r="AA84" s="594"/>
      <c r="AB84" s="594"/>
    </row>
    <row r="85" spans="2:31" ht="18" thickBot="1" x14ac:dyDescent="0.35">
      <c r="B85" s="141"/>
      <c r="C85" s="142"/>
      <c r="D85" s="142" t="s">
        <v>71</v>
      </c>
      <c r="E85" s="142"/>
      <c r="F85" s="142"/>
      <c r="G85" s="142"/>
      <c r="H85" s="142"/>
      <c r="I85" s="142"/>
      <c r="J85" s="172" t="s">
        <v>72</v>
      </c>
      <c r="K85" s="142"/>
      <c r="L85" s="142"/>
      <c r="M85" s="142"/>
      <c r="N85" s="142"/>
      <c r="O85" s="142"/>
      <c r="P85" s="138"/>
      <c r="Q85" s="139"/>
      <c r="R85" s="594"/>
      <c r="S85" s="594"/>
      <c r="T85" s="594"/>
      <c r="U85" s="594"/>
      <c r="V85" s="594"/>
      <c r="W85" s="594"/>
      <c r="X85" s="594"/>
      <c r="Y85" s="594"/>
      <c r="Z85" s="594"/>
      <c r="AA85" s="594"/>
      <c r="AB85" s="594"/>
    </row>
    <row r="86" spans="2:31" ht="18" thickBot="1" x14ac:dyDescent="0.35">
      <c r="B86" s="141"/>
      <c r="C86" s="72" t="s">
        <v>85</v>
      </c>
      <c r="D86" s="173">
        <v>35000</v>
      </c>
      <c r="E86" s="142" t="s">
        <v>74</v>
      </c>
      <c r="F86" s="142"/>
      <c r="G86" s="142"/>
      <c r="H86" s="142"/>
      <c r="I86" s="142"/>
      <c r="J86" s="72">
        <v>2024</v>
      </c>
      <c r="K86" s="142"/>
      <c r="L86" s="142"/>
      <c r="M86" s="142"/>
      <c r="N86" s="142"/>
      <c r="O86" s="142"/>
      <c r="P86" s="138"/>
      <c r="Q86" s="139"/>
      <c r="R86" s="594"/>
      <c r="S86" s="594"/>
      <c r="T86" s="594"/>
    </row>
    <row r="87" spans="2:31" ht="18" thickBot="1" x14ac:dyDescent="0.35">
      <c r="B87" s="141"/>
      <c r="C87" s="72" t="s">
        <v>86</v>
      </c>
      <c r="D87" s="173">
        <v>45000</v>
      </c>
      <c r="E87" s="142" t="s">
        <v>74</v>
      </c>
      <c r="F87" s="142"/>
      <c r="G87" s="142"/>
      <c r="H87" s="142"/>
      <c r="I87" s="142"/>
      <c r="J87" s="72">
        <v>2024</v>
      </c>
      <c r="K87" s="142"/>
      <c r="L87" s="142"/>
      <c r="M87" s="142"/>
      <c r="N87" s="142"/>
      <c r="O87" s="142"/>
      <c r="P87" s="138"/>
      <c r="Q87" s="139"/>
      <c r="R87" s="594"/>
      <c r="S87" s="594"/>
      <c r="T87" s="594"/>
      <c r="U87" s="594"/>
      <c r="V87" s="594"/>
      <c r="W87" s="594"/>
      <c r="X87" s="594"/>
      <c r="Y87" s="594"/>
      <c r="Z87" s="594"/>
      <c r="AA87" s="594"/>
      <c r="AB87" s="594"/>
    </row>
    <row r="88" spans="2:31" ht="18" thickBot="1" x14ac:dyDescent="0.35">
      <c r="B88" s="141"/>
      <c r="C88" s="72" t="s">
        <v>87</v>
      </c>
      <c r="D88" s="173">
        <v>5000</v>
      </c>
      <c r="E88" s="142" t="s">
        <v>74</v>
      </c>
      <c r="F88" s="142"/>
      <c r="G88" s="142"/>
      <c r="H88" s="142"/>
      <c r="I88" s="142"/>
      <c r="J88" s="72">
        <v>2024</v>
      </c>
      <c r="K88" s="142"/>
      <c r="L88" s="142"/>
      <c r="M88" s="142"/>
      <c r="N88" s="142"/>
      <c r="O88" s="142"/>
      <c r="P88" s="138"/>
      <c r="Q88" s="139"/>
      <c r="U88" s="594"/>
      <c r="V88" s="594"/>
      <c r="W88" s="594"/>
      <c r="X88" s="594"/>
      <c r="Y88" s="594"/>
      <c r="Z88" s="594"/>
      <c r="AA88" s="594"/>
      <c r="AB88" s="594"/>
    </row>
    <row r="89" spans="2:31" ht="18" thickBot="1" x14ac:dyDescent="0.35">
      <c r="B89" s="141"/>
      <c r="C89" s="72" t="s">
        <v>88</v>
      </c>
      <c r="D89" s="173">
        <v>600</v>
      </c>
      <c r="E89" s="174" t="s">
        <v>74</v>
      </c>
      <c r="F89" s="174"/>
      <c r="G89" s="174"/>
      <c r="H89" s="174"/>
      <c r="I89" s="174"/>
      <c r="J89" s="72">
        <v>2024</v>
      </c>
      <c r="K89" s="142"/>
      <c r="L89" s="142"/>
      <c r="M89" s="142"/>
      <c r="N89" s="142"/>
      <c r="O89" s="142"/>
      <c r="P89" s="138"/>
      <c r="Q89" s="139"/>
      <c r="U89" s="594"/>
      <c r="V89" s="594"/>
      <c r="W89" s="594"/>
      <c r="X89" s="594"/>
      <c r="Y89" s="594"/>
      <c r="Z89" s="594"/>
      <c r="AA89" s="594"/>
      <c r="AB89" s="594"/>
    </row>
    <row r="90" spans="2:31" ht="18" thickBot="1" x14ac:dyDescent="0.35">
      <c r="B90" s="141"/>
      <c r="C90" s="72" t="s">
        <v>89</v>
      </c>
      <c r="D90" s="173">
        <v>6000</v>
      </c>
      <c r="E90" s="174" t="s">
        <v>74</v>
      </c>
      <c r="F90" s="174"/>
      <c r="G90" s="174"/>
      <c r="H90" s="174"/>
      <c r="I90" s="174"/>
      <c r="J90" s="72">
        <v>2024</v>
      </c>
      <c r="K90" s="142"/>
      <c r="L90" s="142"/>
      <c r="M90" s="142"/>
      <c r="N90" s="142"/>
      <c r="O90" s="142"/>
      <c r="P90" s="138"/>
      <c r="Q90" s="139"/>
    </row>
    <row r="91" spans="2:31" s="594" customFormat="1" ht="18" thickBot="1" x14ac:dyDescent="0.35">
      <c r="B91" s="605"/>
      <c r="C91" s="593" t="s">
        <v>90</v>
      </c>
      <c r="D91" s="432">
        <v>1700</v>
      </c>
      <c r="E91" s="606" t="s">
        <v>74</v>
      </c>
      <c r="F91" s="606"/>
      <c r="G91" s="606"/>
      <c r="H91" s="606"/>
      <c r="I91" s="606"/>
      <c r="J91" s="593">
        <v>2024</v>
      </c>
      <c r="K91" s="606"/>
      <c r="L91" s="606"/>
      <c r="M91" s="606"/>
      <c r="N91" s="606"/>
      <c r="O91" s="606"/>
      <c r="P91" s="607"/>
      <c r="Q91" s="608"/>
      <c r="R91"/>
      <c r="S91"/>
      <c r="T91"/>
      <c r="U91"/>
      <c r="V91"/>
      <c r="W91"/>
      <c r="X91"/>
      <c r="Y91"/>
      <c r="Z91"/>
      <c r="AA91"/>
      <c r="AB91"/>
      <c r="AC91" s="13"/>
      <c r="AD91"/>
      <c r="AE91"/>
    </row>
    <row r="92" spans="2:31" s="594" customFormat="1" ht="18" thickBot="1" x14ac:dyDescent="0.35">
      <c r="B92" s="605"/>
      <c r="C92" s="593" t="s">
        <v>91</v>
      </c>
      <c r="D92" s="432">
        <v>500</v>
      </c>
      <c r="E92" s="606" t="s">
        <v>74</v>
      </c>
      <c r="F92" s="606"/>
      <c r="G92" s="606"/>
      <c r="H92" s="606"/>
      <c r="I92" s="606"/>
      <c r="J92" s="593">
        <v>2024</v>
      </c>
      <c r="K92" s="606"/>
      <c r="L92" s="606"/>
      <c r="M92" s="606"/>
      <c r="N92" s="606"/>
      <c r="O92" s="606"/>
      <c r="P92" s="607"/>
      <c r="Q92" s="608"/>
      <c r="R92"/>
      <c r="S92"/>
      <c r="T92"/>
      <c r="U92"/>
      <c r="V92"/>
      <c r="W92"/>
      <c r="X92"/>
      <c r="Y92"/>
      <c r="Z92"/>
      <c r="AA92"/>
      <c r="AB92"/>
      <c r="AC92" s="13"/>
      <c r="AD92"/>
      <c r="AE92"/>
    </row>
    <row r="93" spans="2:31" s="594" customFormat="1" ht="18" thickBot="1" x14ac:dyDescent="0.35">
      <c r="B93" s="605"/>
      <c r="C93" s="593" t="s">
        <v>92</v>
      </c>
      <c r="D93" s="432">
        <v>1000</v>
      </c>
      <c r="E93" s="606" t="s">
        <v>74</v>
      </c>
      <c r="F93" s="606"/>
      <c r="G93" s="606"/>
      <c r="H93" s="606"/>
      <c r="I93" s="606"/>
      <c r="J93" s="593">
        <v>2024</v>
      </c>
      <c r="K93" s="606"/>
      <c r="L93" s="606"/>
      <c r="M93" s="606"/>
      <c r="N93" s="606"/>
      <c r="O93" s="606"/>
      <c r="P93" s="607"/>
      <c r="Q93" s="608"/>
      <c r="R93"/>
      <c r="S93"/>
      <c r="T93"/>
      <c r="U93"/>
      <c r="V93"/>
      <c r="W93"/>
      <c r="X93"/>
      <c r="Y93"/>
      <c r="Z93"/>
      <c r="AA93"/>
      <c r="AB93"/>
      <c r="AC93" s="13"/>
    </row>
    <row r="94" spans="2:31" s="594" customFormat="1" ht="18" thickBot="1" x14ac:dyDescent="0.35">
      <c r="B94" s="605"/>
      <c r="C94" s="593" t="s">
        <v>93</v>
      </c>
      <c r="D94" s="432">
        <v>30000</v>
      </c>
      <c r="E94" s="606" t="s">
        <v>74</v>
      </c>
      <c r="F94" s="606"/>
      <c r="G94" s="606"/>
      <c r="H94" s="606"/>
      <c r="I94" s="606"/>
      <c r="J94" s="593">
        <v>2024</v>
      </c>
      <c r="K94" s="606"/>
      <c r="L94" s="606"/>
      <c r="M94" s="606"/>
      <c r="N94" s="606"/>
      <c r="O94" s="606"/>
      <c r="P94" s="607"/>
      <c r="Q94" s="608"/>
      <c r="R94"/>
      <c r="S94"/>
      <c r="T94"/>
      <c r="U94"/>
      <c r="V94"/>
      <c r="W94"/>
      <c r="X94"/>
      <c r="Y94"/>
      <c r="Z94"/>
      <c r="AA94"/>
      <c r="AB94"/>
      <c r="AC94" s="13"/>
    </row>
    <row r="95" spans="2:31" s="594" customFormat="1" ht="18" thickBot="1" x14ac:dyDescent="0.35">
      <c r="B95" s="605"/>
      <c r="C95" s="593" t="s">
        <v>94</v>
      </c>
      <c r="D95" s="432">
        <v>25000</v>
      </c>
      <c r="E95" s="606" t="s">
        <v>74</v>
      </c>
      <c r="F95" s="606"/>
      <c r="G95" s="606"/>
      <c r="H95" s="606"/>
      <c r="I95" s="606"/>
      <c r="J95" s="593">
        <v>2024</v>
      </c>
      <c r="K95" s="606"/>
      <c r="L95" s="606"/>
      <c r="M95" s="606"/>
      <c r="N95" s="606"/>
      <c r="O95" s="606"/>
      <c r="P95" s="607"/>
      <c r="Q95" s="608"/>
      <c r="R95"/>
      <c r="S95"/>
      <c r="T95"/>
      <c r="U95"/>
      <c r="V95"/>
      <c r="W95"/>
      <c r="X95"/>
      <c r="Y95"/>
      <c r="Z95"/>
      <c r="AA95"/>
      <c r="AB95"/>
      <c r="AC95" s="13"/>
    </row>
    <row r="96" spans="2:31" s="594" customFormat="1" ht="18" thickBot="1" x14ac:dyDescent="0.35">
      <c r="B96" s="605"/>
      <c r="C96" s="593" t="s">
        <v>95</v>
      </c>
      <c r="D96" s="432">
        <v>50000</v>
      </c>
      <c r="E96" s="606" t="s">
        <v>74</v>
      </c>
      <c r="F96" s="606"/>
      <c r="G96" s="606"/>
      <c r="H96" s="606"/>
      <c r="I96" s="606"/>
      <c r="J96" s="593">
        <v>2024</v>
      </c>
      <c r="K96" s="606"/>
      <c r="L96" s="606"/>
      <c r="M96" s="606"/>
      <c r="N96" s="606"/>
      <c r="O96" s="606"/>
      <c r="P96" s="607"/>
      <c r="Q96" s="608"/>
      <c r="R96"/>
      <c r="S96"/>
      <c r="T96"/>
      <c r="U96"/>
      <c r="V96"/>
      <c r="W96"/>
      <c r="X96"/>
      <c r="Y96"/>
      <c r="Z96"/>
      <c r="AA96"/>
      <c r="AB96"/>
      <c r="AC96" s="13"/>
    </row>
    <row r="97" spans="2:31" s="594" customFormat="1" ht="18" thickBot="1" x14ac:dyDescent="0.35">
      <c r="B97" s="605"/>
      <c r="C97" s="593" t="s">
        <v>96</v>
      </c>
      <c r="D97" s="432">
        <v>60000</v>
      </c>
      <c r="E97" s="606" t="s">
        <v>74</v>
      </c>
      <c r="F97" s="606"/>
      <c r="G97" s="606"/>
      <c r="H97" s="606"/>
      <c r="I97" s="606"/>
      <c r="J97" s="593">
        <v>2024</v>
      </c>
      <c r="K97" s="606"/>
      <c r="L97" s="606"/>
      <c r="M97" s="606"/>
      <c r="N97" s="606"/>
      <c r="O97" s="606"/>
      <c r="P97" s="607"/>
      <c r="Q97" s="608"/>
      <c r="R97"/>
      <c r="S97"/>
      <c r="T97"/>
      <c r="U97"/>
      <c r="V97"/>
      <c r="W97"/>
      <c r="X97"/>
      <c r="Y97"/>
      <c r="Z97"/>
      <c r="AA97"/>
      <c r="AB97"/>
      <c r="AC97" s="13"/>
    </row>
    <row r="98" spans="2:31" ht="18" thickBot="1" x14ac:dyDescent="0.35">
      <c r="B98" s="141"/>
      <c r="C98" s="72" t="s">
        <v>97</v>
      </c>
      <c r="D98" s="173">
        <v>2500</v>
      </c>
      <c r="E98" s="174" t="s">
        <v>74</v>
      </c>
      <c r="F98" s="174"/>
      <c r="G98" s="174"/>
      <c r="H98" s="174"/>
      <c r="I98" s="174"/>
      <c r="J98" s="72">
        <v>2024</v>
      </c>
      <c r="K98" s="142"/>
      <c r="L98" s="142"/>
      <c r="M98" s="142"/>
      <c r="N98" s="142"/>
      <c r="O98" s="142"/>
      <c r="P98" s="138"/>
      <c r="Q98" s="139"/>
      <c r="AD98" s="594"/>
      <c r="AE98" s="594"/>
    </row>
    <row r="99" spans="2:31" s="594" customFormat="1" ht="18" thickBot="1" x14ac:dyDescent="0.35">
      <c r="B99" s="605"/>
      <c r="C99" s="923" t="s">
        <v>98</v>
      </c>
      <c r="D99" s="432">
        <v>7600</v>
      </c>
      <c r="E99" s="606" t="s">
        <v>74</v>
      </c>
      <c r="F99" s="606"/>
      <c r="G99" s="606"/>
      <c r="H99" s="606"/>
      <c r="I99" s="606"/>
      <c r="J99" s="593">
        <v>2024</v>
      </c>
      <c r="K99" s="606"/>
      <c r="L99" s="606"/>
      <c r="M99" s="606"/>
      <c r="N99" s="606"/>
      <c r="O99" s="606"/>
      <c r="P99" s="607"/>
      <c r="Q99" s="608"/>
      <c r="R99"/>
      <c r="S99"/>
      <c r="T99"/>
      <c r="U99"/>
      <c r="V99"/>
      <c r="W99"/>
      <c r="X99"/>
      <c r="Y99"/>
      <c r="Z99"/>
      <c r="AA99"/>
      <c r="AB99"/>
      <c r="AC99" s="13"/>
    </row>
    <row r="100" spans="2:31" ht="18" thickBot="1" x14ac:dyDescent="0.35">
      <c r="B100" s="141"/>
      <c r="C100" s="72" t="s">
        <v>99</v>
      </c>
      <c r="D100" s="173">
        <v>15000</v>
      </c>
      <c r="E100" s="174" t="s">
        <v>74</v>
      </c>
      <c r="F100" s="174"/>
      <c r="G100" s="174"/>
      <c r="H100" s="174"/>
      <c r="I100" s="174"/>
      <c r="J100" s="72">
        <v>2025</v>
      </c>
      <c r="K100" s="142"/>
      <c r="L100" s="142"/>
      <c r="M100" s="142"/>
      <c r="N100" s="142"/>
      <c r="O100" s="142"/>
      <c r="P100" s="138"/>
      <c r="Q100" s="139"/>
      <c r="R100" s="594"/>
      <c r="S100" s="594"/>
      <c r="T100" s="594"/>
    </row>
    <row r="101" spans="2:31" ht="18" thickBot="1" x14ac:dyDescent="0.35">
      <c r="B101" s="141"/>
      <c r="C101" s="72" t="s">
        <v>100</v>
      </c>
      <c r="D101" s="272">
        <v>500</v>
      </c>
      <c r="E101" s="174" t="s">
        <v>74</v>
      </c>
      <c r="F101" s="174"/>
      <c r="G101" s="174"/>
      <c r="H101" s="174"/>
      <c r="I101" s="174"/>
      <c r="J101" s="72">
        <v>2024</v>
      </c>
      <c r="K101" s="142"/>
      <c r="L101" s="142"/>
      <c r="M101" s="142"/>
      <c r="N101" s="142"/>
      <c r="O101" s="142"/>
      <c r="P101" s="138"/>
      <c r="Q101" s="139"/>
      <c r="R101" s="594"/>
      <c r="S101" s="594"/>
      <c r="T101" s="594"/>
      <c r="AD101" s="594"/>
      <c r="AE101" s="594"/>
    </row>
    <row r="102" spans="2:31" ht="18" thickBot="1" x14ac:dyDescent="0.35">
      <c r="B102" s="141"/>
      <c r="C102" s="72" t="s">
        <v>101</v>
      </c>
      <c r="D102" s="272">
        <v>2500</v>
      </c>
      <c r="E102" s="174" t="s">
        <v>74</v>
      </c>
      <c r="F102" s="174"/>
      <c r="G102" s="174"/>
      <c r="H102" s="174"/>
      <c r="I102" s="174"/>
      <c r="J102" s="72">
        <v>2024</v>
      </c>
      <c r="K102" s="142"/>
      <c r="L102" s="142"/>
      <c r="M102" s="142"/>
      <c r="N102" s="142"/>
      <c r="O102" s="142"/>
      <c r="P102" s="138"/>
      <c r="Q102" s="139"/>
      <c r="R102" s="594"/>
      <c r="S102" s="594"/>
      <c r="T102" s="594"/>
      <c r="U102" s="594"/>
      <c r="V102" s="594"/>
      <c r="W102" s="594"/>
      <c r="X102" s="594"/>
      <c r="Y102" s="594"/>
      <c r="Z102" s="594"/>
      <c r="AA102" s="594"/>
      <c r="AB102" s="594"/>
    </row>
    <row r="103" spans="2:31" ht="18" thickBot="1" x14ac:dyDescent="0.35">
      <c r="B103" s="141"/>
      <c r="C103" s="72" t="s">
        <v>102</v>
      </c>
      <c r="D103" s="272">
        <v>7000</v>
      </c>
      <c r="E103" s="174" t="s">
        <v>74</v>
      </c>
      <c r="F103" s="174"/>
      <c r="G103" s="174"/>
      <c r="H103" s="174"/>
      <c r="I103" s="174"/>
      <c r="J103" s="72">
        <v>2024</v>
      </c>
      <c r="K103" s="142"/>
      <c r="L103" s="142"/>
      <c r="M103" s="142"/>
      <c r="N103" s="142"/>
      <c r="O103" s="142"/>
      <c r="P103" s="138"/>
      <c r="Q103" s="139"/>
      <c r="R103" s="594"/>
      <c r="S103" s="594"/>
      <c r="T103" s="594"/>
      <c r="U103" s="594"/>
      <c r="V103" s="594"/>
      <c r="W103" s="594"/>
      <c r="X103" s="594"/>
      <c r="Y103" s="594"/>
      <c r="Z103" s="594"/>
      <c r="AA103" s="594"/>
      <c r="AB103" s="594"/>
    </row>
    <row r="104" spans="2:31" ht="18" thickBot="1" x14ac:dyDescent="0.35">
      <c r="B104" s="141"/>
      <c r="C104" s="685" t="s">
        <v>103</v>
      </c>
      <c r="D104" s="686">
        <v>31000</v>
      </c>
      <c r="E104" s="687" t="s">
        <v>74</v>
      </c>
      <c r="F104" s="174"/>
      <c r="G104" s="174"/>
      <c r="H104" s="174"/>
      <c r="I104" s="174"/>
      <c r="J104" s="685">
        <v>2010</v>
      </c>
      <c r="K104" s="142"/>
      <c r="L104" s="142"/>
      <c r="M104" s="142"/>
      <c r="N104" s="142"/>
      <c r="O104" s="142"/>
      <c r="P104" s="138"/>
      <c r="Q104" s="139"/>
      <c r="R104" s="594"/>
      <c r="S104" s="594"/>
      <c r="T104" s="594"/>
      <c r="U104" s="594"/>
      <c r="V104" s="594"/>
      <c r="W104" s="594"/>
      <c r="X104" s="594"/>
      <c r="Y104" s="594"/>
      <c r="Z104" s="594"/>
      <c r="AA104" s="594"/>
      <c r="AB104" s="594"/>
    </row>
    <row r="105" spans="2:31" s="594" customFormat="1" ht="18" thickBot="1" x14ac:dyDescent="0.35">
      <c r="B105" s="605"/>
      <c r="C105" s="593" t="s">
        <v>104</v>
      </c>
      <c r="D105" s="432">
        <v>20000</v>
      </c>
      <c r="E105" s="606" t="s">
        <v>74</v>
      </c>
      <c r="F105" s="606"/>
      <c r="G105" s="606"/>
      <c r="H105" s="606"/>
      <c r="I105" s="606"/>
      <c r="J105" s="593">
        <v>2020</v>
      </c>
      <c r="K105" s="606"/>
      <c r="L105" s="606"/>
      <c r="M105" s="606"/>
      <c r="N105" s="606"/>
      <c r="O105" s="606"/>
      <c r="P105" s="607"/>
      <c r="Q105" s="608"/>
      <c r="AC105" s="13"/>
      <c r="AD105"/>
      <c r="AE105"/>
    </row>
    <row r="106" spans="2:31" s="594" customFormat="1" ht="18" thickBot="1" x14ac:dyDescent="0.35">
      <c r="B106" s="605"/>
      <c r="C106" s="685" t="s">
        <v>105</v>
      </c>
      <c r="D106" s="686">
        <v>30000</v>
      </c>
      <c r="E106" s="687" t="s">
        <v>74</v>
      </c>
      <c r="F106" s="606"/>
      <c r="G106" s="606"/>
      <c r="H106" s="606"/>
      <c r="I106" s="606"/>
      <c r="J106" s="685">
        <v>2005</v>
      </c>
      <c r="K106" s="606"/>
      <c r="L106" s="606"/>
      <c r="M106" s="606"/>
      <c r="N106" s="606"/>
      <c r="O106" s="606"/>
      <c r="P106" s="607"/>
      <c r="Q106" s="608"/>
      <c r="AC106" s="13"/>
      <c r="AD106"/>
      <c r="AE106"/>
    </row>
    <row r="107" spans="2:31" s="594" customFormat="1" ht="18" thickBot="1" x14ac:dyDescent="0.35">
      <c r="B107" s="605"/>
      <c r="C107" s="685" t="s">
        <v>106</v>
      </c>
      <c r="D107" s="686">
        <v>44000</v>
      </c>
      <c r="E107" s="687" t="s">
        <v>74</v>
      </c>
      <c r="F107" s="606"/>
      <c r="G107" s="606"/>
      <c r="H107" s="606"/>
      <c r="I107" s="606"/>
      <c r="J107" s="685">
        <v>2007</v>
      </c>
      <c r="K107" s="606"/>
      <c r="L107" s="606"/>
      <c r="M107" s="606"/>
      <c r="N107" s="606"/>
      <c r="O107" s="606"/>
      <c r="P107" s="607"/>
      <c r="Q107" s="608"/>
      <c r="AC107" s="13"/>
      <c r="AD107"/>
      <c r="AE107"/>
    </row>
    <row r="108" spans="2:31" s="594" customFormat="1" ht="18" thickBot="1" x14ac:dyDescent="0.35">
      <c r="B108" s="605"/>
      <c r="C108" s="685" t="s">
        <v>107</v>
      </c>
      <c r="D108" s="686">
        <v>8000</v>
      </c>
      <c r="E108" s="687" t="s">
        <v>74</v>
      </c>
      <c r="F108" s="606"/>
      <c r="G108" s="606"/>
      <c r="H108" s="606"/>
      <c r="I108" s="606"/>
      <c r="J108" s="685">
        <v>2008</v>
      </c>
      <c r="K108" s="606"/>
      <c r="L108" s="606"/>
      <c r="M108" s="606"/>
      <c r="N108" s="606"/>
      <c r="O108" s="606"/>
      <c r="P108" s="607"/>
      <c r="Q108" s="608"/>
      <c r="AC108" s="13"/>
      <c r="AD108"/>
      <c r="AE108"/>
    </row>
    <row r="109" spans="2:31" s="594" customFormat="1" ht="18" thickBot="1" x14ac:dyDescent="0.35">
      <c r="B109" s="605"/>
      <c r="C109" s="685" t="s">
        <v>108</v>
      </c>
      <c r="D109" s="686">
        <v>17000</v>
      </c>
      <c r="E109" s="687" t="s">
        <v>74</v>
      </c>
      <c r="F109" s="606"/>
      <c r="G109" s="606"/>
      <c r="H109" s="606"/>
      <c r="I109" s="606"/>
      <c r="J109" s="685">
        <v>2020</v>
      </c>
      <c r="K109" s="606"/>
      <c r="L109" s="606"/>
      <c r="M109" s="606"/>
      <c r="N109" s="606"/>
      <c r="O109" s="606"/>
      <c r="P109" s="607"/>
      <c r="Q109" s="608"/>
      <c r="AC109" s="13"/>
      <c r="AD109"/>
      <c r="AE109"/>
    </row>
    <row r="110" spans="2:31" s="594" customFormat="1" ht="18" thickBot="1" x14ac:dyDescent="0.35">
      <c r="B110" s="605"/>
      <c r="C110" s="593" t="s">
        <v>109</v>
      </c>
      <c r="D110" s="432"/>
      <c r="E110" s="606" t="s">
        <v>74</v>
      </c>
      <c r="F110" s="606"/>
      <c r="G110" s="606"/>
      <c r="H110" s="606"/>
      <c r="I110" s="606"/>
      <c r="J110" s="593"/>
      <c r="K110" s="606"/>
      <c r="L110" s="606"/>
      <c r="M110" s="606"/>
      <c r="N110" s="606"/>
      <c r="O110" s="606"/>
      <c r="P110" s="607"/>
      <c r="Q110" s="608"/>
      <c r="AC110" s="13"/>
      <c r="AD110"/>
      <c r="AE110"/>
    </row>
    <row r="111" spans="2:31" s="594" customFormat="1" ht="18" thickBot="1" x14ac:dyDescent="0.35">
      <c r="B111" s="605"/>
      <c r="C111" s="593" t="s">
        <v>109</v>
      </c>
      <c r="D111" s="432"/>
      <c r="E111" s="606" t="s">
        <v>74</v>
      </c>
      <c r="F111" s="606"/>
      <c r="G111" s="606"/>
      <c r="H111" s="606"/>
      <c r="I111" s="606"/>
      <c r="J111" s="593"/>
      <c r="K111" s="606"/>
      <c r="L111" s="606"/>
      <c r="M111" s="606"/>
      <c r="N111" s="606"/>
      <c r="O111" s="606"/>
      <c r="P111" s="607"/>
      <c r="Q111" s="608"/>
      <c r="AC111" s="13"/>
    </row>
    <row r="112" spans="2:31" ht="18" thickBot="1" x14ac:dyDescent="0.35">
      <c r="B112" s="141"/>
      <c r="C112" s="72" t="s">
        <v>110</v>
      </c>
      <c r="D112" s="173"/>
      <c r="E112" s="174" t="s">
        <v>74</v>
      </c>
      <c r="F112" s="174"/>
      <c r="G112" s="174"/>
      <c r="H112" s="174"/>
      <c r="I112" s="174"/>
      <c r="J112" s="72"/>
      <c r="K112" s="142"/>
      <c r="L112" s="142"/>
      <c r="M112" s="142"/>
      <c r="N112" s="142"/>
      <c r="O112" s="142"/>
      <c r="P112" s="138"/>
      <c r="Q112" s="139"/>
      <c r="U112" s="594"/>
      <c r="V112" s="594"/>
      <c r="W112" s="594"/>
      <c r="X112" s="594"/>
      <c r="Y112" s="594"/>
      <c r="Z112" s="594"/>
      <c r="AA112" s="594"/>
      <c r="AB112" s="594"/>
      <c r="AD112" s="594"/>
      <c r="AE112" s="594"/>
    </row>
    <row r="113" spans="2:31" ht="18" thickBot="1" x14ac:dyDescent="0.35">
      <c r="B113" s="141"/>
      <c r="C113" s="72" t="s">
        <v>110</v>
      </c>
      <c r="D113" s="173"/>
      <c r="E113" s="174" t="s">
        <v>74</v>
      </c>
      <c r="F113" s="174"/>
      <c r="G113" s="174"/>
      <c r="H113" s="174"/>
      <c r="I113" s="174"/>
      <c r="J113" s="72"/>
      <c r="K113" s="142"/>
      <c r="L113" s="142"/>
      <c r="M113" s="142"/>
      <c r="N113" s="142"/>
      <c r="O113" s="142"/>
      <c r="P113" s="138"/>
      <c r="Q113" s="139"/>
      <c r="R113" s="594"/>
      <c r="S113" s="594"/>
      <c r="T113" s="594"/>
      <c r="U113" s="594"/>
      <c r="V113" s="594"/>
      <c r="W113" s="594"/>
      <c r="X113" s="594"/>
      <c r="Y113" s="594"/>
      <c r="Z113" s="594"/>
      <c r="AA113" s="594"/>
      <c r="AB113" s="594"/>
      <c r="AD113" s="594"/>
      <c r="AE113" s="594"/>
    </row>
    <row r="114" spans="2:31" ht="37.950000000000003" customHeight="1" x14ac:dyDescent="0.3">
      <c r="B114" s="141"/>
      <c r="C114" s="142"/>
      <c r="D114" s="142"/>
      <c r="E114" s="142"/>
      <c r="F114" s="142"/>
      <c r="G114" s="142"/>
      <c r="H114" s="142"/>
      <c r="I114" s="142"/>
      <c r="J114" s="142"/>
      <c r="K114" s="142"/>
      <c r="L114" s="142"/>
      <c r="M114" s="142"/>
      <c r="N114" s="142"/>
      <c r="O114" s="142"/>
      <c r="P114" s="138"/>
      <c r="Q114" s="139"/>
    </row>
    <row r="115" spans="2:31" x14ac:dyDescent="0.3">
      <c r="B115" s="1050" t="s">
        <v>111</v>
      </c>
      <c r="C115" s="1051"/>
      <c r="D115" s="142"/>
      <c r="E115" s="142"/>
      <c r="F115" s="142"/>
      <c r="G115" s="142"/>
      <c r="H115" s="142"/>
      <c r="I115" s="142"/>
      <c r="J115" s="142"/>
      <c r="K115" s="142"/>
      <c r="L115" s="142"/>
      <c r="M115" s="142"/>
      <c r="N115" s="142"/>
      <c r="O115" s="142"/>
      <c r="P115" s="138"/>
      <c r="Q115" s="139"/>
      <c r="U115" s="594"/>
      <c r="V115" s="594"/>
      <c r="W115" s="594"/>
      <c r="X115" s="594"/>
      <c r="Y115" s="594"/>
      <c r="Z115" s="594"/>
      <c r="AA115" s="594"/>
      <c r="AB115" s="594"/>
    </row>
    <row r="116" spans="2:31" ht="60" customHeight="1" x14ac:dyDescent="0.3">
      <c r="B116" s="1021" t="s">
        <v>112</v>
      </c>
      <c r="C116" s="1022"/>
      <c r="D116" s="1022"/>
      <c r="E116" s="1022"/>
      <c r="F116" s="1022"/>
      <c r="G116" s="1022"/>
      <c r="H116" s="1022"/>
      <c r="I116" s="1022"/>
      <c r="J116" s="1022"/>
      <c r="K116" s="1022"/>
      <c r="L116" s="1022"/>
      <c r="M116" s="1022"/>
      <c r="N116" s="142"/>
      <c r="O116" s="142"/>
      <c r="P116" s="138"/>
      <c r="Q116" s="138"/>
    </row>
    <row r="117" spans="2:31" x14ac:dyDescent="0.3">
      <c r="B117" s="389"/>
      <c r="C117" s="390"/>
      <c r="D117" s="142"/>
      <c r="E117" s="142"/>
      <c r="F117" s="142"/>
      <c r="G117" s="142"/>
      <c r="H117" s="142"/>
      <c r="I117" s="142"/>
      <c r="J117" s="142"/>
      <c r="K117" s="142"/>
      <c r="L117" s="142"/>
      <c r="M117" s="142"/>
      <c r="N117" s="142"/>
      <c r="O117" s="142"/>
      <c r="P117" s="138"/>
      <c r="Q117" s="138"/>
    </row>
    <row r="118" spans="2:31" ht="18" thickBot="1" x14ac:dyDescent="0.35">
      <c r="B118" s="141"/>
      <c r="C118" s="142"/>
      <c r="D118" s="142" t="s">
        <v>113</v>
      </c>
      <c r="E118" s="142"/>
      <c r="F118" s="142"/>
      <c r="G118" s="1058" t="s">
        <v>114</v>
      </c>
      <c r="H118" s="1058"/>
      <c r="I118" s="142"/>
      <c r="J118" s="172" t="s">
        <v>72</v>
      </c>
      <c r="K118" s="142"/>
      <c r="L118" s="142" t="s">
        <v>71</v>
      </c>
      <c r="M118" s="138"/>
      <c r="N118" s="138"/>
      <c r="O118" s="138"/>
      <c r="P118" s="138"/>
      <c r="Q118" s="138"/>
      <c r="R118" s="594"/>
      <c r="S118" s="594"/>
      <c r="T118" s="594"/>
    </row>
    <row r="119" spans="2:31" s="594" customFormat="1" ht="18" thickBot="1" x14ac:dyDescent="0.35">
      <c r="B119" s="605"/>
      <c r="C119" s="593" t="s">
        <v>115</v>
      </c>
      <c r="D119" s="432">
        <v>4.5999999999999996</v>
      </c>
      <c r="E119" s="606" t="s">
        <v>74</v>
      </c>
      <c r="F119" s="606"/>
      <c r="G119" s="609">
        <v>50</v>
      </c>
      <c r="H119" s="606" t="s">
        <v>116</v>
      </c>
      <c r="I119" s="606"/>
      <c r="J119" s="593">
        <v>2010</v>
      </c>
      <c r="K119" s="606"/>
      <c r="L119" s="610">
        <f t="shared" ref="L119:L139" si="3">D119*G119</f>
        <v>229.99999999999997</v>
      </c>
      <c r="M119" s="606" t="s">
        <v>117</v>
      </c>
      <c r="N119" s="606"/>
      <c r="O119" s="606"/>
      <c r="P119" s="607"/>
      <c r="Q119" s="607"/>
      <c r="U119"/>
      <c r="V119"/>
      <c r="W119"/>
      <c r="X119"/>
      <c r="Y119"/>
      <c r="Z119"/>
      <c r="AA119"/>
      <c r="AB119"/>
      <c r="AC119" s="13"/>
      <c r="AD119"/>
      <c r="AE119"/>
    </row>
    <row r="120" spans="2:31" s="594" customFormat="1" ht="18" thickBot="1" x14ac:dyDescent="0.35">
      <c r="B120" s="605"/>
      <c r="C120" s="593" t="s">
        <v>118</v>
      </c>
      <c r="D120" s="432">
        <v>10</v>
      </c>
      <c r="E120" s="606" t="s">
        <v>74</v>
      </c>
      <c r="F120" s="606"/>
      <c r="G120" s="609">
        <v>50</v>
      </c>
      <c r="H120" s="606" t="s">
        <v>116</v>
      </c>
      <c r="I120" s="606"/>
      <c r="J120" s="593">
        <v>2010</v>
      </c>
      <c r="K120" s="606"/>
      <c r="L120" s="610">
        <f t="shared" si="3"/>
        <v>500</v>
      </c>
      <c r="M120" s="606" t="s">
        <v>117</v>
      </c>
      <c r="N120" s="606"/>
      <c r="O120" s="606"/>
      <c r="P120" s="607"/>
      <c r="Q120" s="607"/>
      <c r="AC120" s="13"/>
      <c r="AD120"/>
      <c r="AE120"/>
    </row>
    <row r="121" spans="2:31" s="594" customFormat="1" ht="18" thickBot="1" x14ac:dyDescent="0.35">
      <c r="B121" s="605"/>
      <c r="C121" s="593" t="s">
        <v>119</v>
      </c>
      <c r="D121" s="432">
        <v>8</v>
      </c>
      <c r="E121" s="606" t="s">
        <v>74</v>
      </c>
      <c r="F121" s="606"/>
      <c r="G121" s="609">
        <v>40</v>
      </c>
      <c r="H121" s="606" t="s">
        <v>116</v>
      </c>
      <c r="I121" s="606"/>
      <c r="J121" s="593">
        <v>2010</v>
      </c>
      <c r="K121" s="606"/>
      <c r="L121" s="610">
        <f t="shared" si="3"/>
        <v>320</v>
      </c>
      <c r="M121" s="606" t="s">
        <v>117</v>
      </c>
      <c r="N121" s="606"/>
      <c r="O121" s="606"/>
      <c r="P121" s="607"/>
      <c r="Q121" s="607"/>
      <c r="R121"/>
      <c r="S121"/>
      <c r="T121"/>
      <c r="AC121" s="13"/>
    </row>
    <row r="122" spans="2:31" s="594" customFormat="1" ht="18" thickBot="1" x14ac:dyDescent="0.35">
      <c r="B122" s="605"/>
      <c r="C122" s="593" t="s">
        <v>120</v>
      </c>
      <c r="D122" s="432">
        <v>200</v>
      </c>
      <c r="E122" s="606" t="s">
        <v>74</v>
      </c>
      <c r="F122" s="606"/>
      <c r="G122" s="609">
        <v>4</v>
      </c>
      <c r="H122" s="606" t="s">
        <v>116</v>
      </c>
      <c r="I122" s="606"/>
      <c r="J122" s="593">
        <v>2010</v>
      </c>
      <c r="K122" s="606"/>
      <c r="L122" s="610">
        <f t="shared" si="3"/>
        <v>800</v>
      </c>
      <c r="M122" s="606" t="s">
        <v>117</v>
      </c>
      <c r="N122" s="606"/>
      <c r="O122" s="606"/>
      <c r="P122" s="607"/>
      <c r="Q122" s="607"/>
      <c r="R122"/>
      <c r="S122"/>
      <c r="T122"/>
      <c r="AC122" s="13"/>
    </row>
    <row r="123" spans="2:31" s="594" customFormat="1" ht="18" thickBot="1" x14ac:dyDescent="0.35">
      <c r="B123" s="605"/>
      <c r="C123" s="593" t="s">
        <v>121</v>
      </c>
      <c r="D123" s="432">
        <v>5000</v>
      </c>
      <c r="E123" s="606" t="s">
        <v>74</v>
      </c>
      <c r="F123" s="606"/>
      <c r="G123" s="609">
        <v>1</v>
      </c>
      <c r="H123" s="606" t="s">
        <v>116</v>
      </c>
      <c r="I123" s="606"/>
      <c r="J123" s="593">
        <v>2010</v>
      </c>
      <c r="K123" s="606"/>
      <c r="L123" s="610">
        <f t="shared" si="3"/>
        <v>5000</v>
      </c>
      <c r="M123" s="606" t="s">
        <v>117</v>
      </c>
      <c r="N123" s="606"/>
      <c r="O123" s="606"/>
      <c r="P123" s="607"/>
      <c r="Q123" s="607"/>
      <c r="R123"/>
      <c r="S123"/>
      <c r="T123"/>
      <c r="U123"/>
      <c r="V123"/>
      <c r="W123"/>
      <c r="X123"/>
      <c r="Y123"/>
      <c r="Z123"/>
      <c r="AA123"/>
      <c r="AB123"/>
      <c r="AC123" s="13"/>
    </row>
    <row r="124" spans="2:31" s="594" customFormat="1" ht="18" thickBot="1" x14ac:dyDescent="0.35">
      <c r="B124" s="605"/>
      <c r="C124" s="593" t="s">
        <v>122</v>
      </c>
      <c r="D124" s="432">
        <v>3000</v>
      </c>
      <c r="E124" s="606" t="s">
        <v>74</v>
      </c>
      <c r="F124" s="606"/>
      <c r="G124" s="609">
        <v>1</v>
      </c>
      <c r="H124" s="606" t="s">
        <v>116</v>
      </c>
      <c r="I124" s="606"/>
      <c r="J124" s="593">
        <v>2010</v>
      </c>
      <c r="K124" s="606"/>
      <c r="L124" s="610">
        <f t="shared" si="3"/>
        <v>3000</v>
      </c>
      <c r="M124" s="606" t="s">
        <v>117</v>
      </c>
      <c r="N124" s="606"/>
      <c r="O124" s="606"/>
      <c r="P124" s="607"/>
      <c r="Q124" s="607"/>
      <c r="R124"/>
      <c r="S124"/>
      <c r="T124"/>
      <c r="U124"/>
      <c r="V124"/>
      <c r="W124"/>
      <c r="X124"/>
      <c r="Y124"/>
      <c r="Z124"/>
      <c r="AA124"/>
      <c r="AB124"/>
      <c r="AC124" s="13"/>
    </row>
    <row r="125" spans="2:31" s="594" customFormat="1" ht="18" thickBot="1" x14ac:dyDescent="0.35">
      <c r="B125" s="605"/>
      <c r="C125" s="593" t="s">
        <v>123</v>
      </c>
      <c r="D125" s="432">
        <v>2000</v>
      </c>
      <c r="E125" s="606" t="s">
        <v>74</v>
      </c>
      <c r="F125" s="606"/>
      <c r="G125" s="609">
        <v>1</v>
      </c>
      <c r="H125" s="606" t="s">
        <v>124</v>
      </c>
      <c r="I125" s="606"/>
      <c r="J125" s="593">
        <v>2010</v>
      </c>
      <c r="K125" s="606"/>
      <c r="L125" s="610">
        <f t="shared" si="3"/>
        <v>2000</v>
      </c>
      <c r="M125" s="606" t="s">
        <v>117</v>
      </c>
      <c r="N125" s="606"/>
      <c r="O125" s="606"/>
      <c r="P125" s="607"/>
      <c r="Q125" s="607"/>
      <c r="R125"/>
      <c r="S125"/>
      <c r="T125"/>
      <c r="U125"/>
      <c r="V125"/>
      <c r="W125"/>
      <c r="X125"/>
      <c r="Y125"/>
      <c r="Z125"/>
      <c r="AA125"/>
      <c r="AB125"/>
      <c r="AC125" s="13"/>
    </row>
    <row r="126" spans="2:31" s="594" customFormat="1" ht="18" thickBot="1" x14ac:dyDescent="0.35">
      <c r="B126" s="605"/>
      <c r="C126" s="593" t="s">
        <v>125</v>
      </c>
      <c r="D126" s="432">
        <v>700</v>
      </c>
      <c r="E126" s="606" t="s">
        <v>74</v>
      </c>
      <c r="F126" s="606"/>
      <c r="G126" s="609">
        <v>1</v>
      </c>
      <c r="H126" s="606" t="s">
        <v>116</v>
      </c>
      <c r="I126" s="606"/>
      <c r="J126" s="593">
        <v>2008</v>
      </c>
      <c r="K126" s="606"/>
      <c r="L126" s="610">
        <f t="shared" si="3"/>
        <v>700</v>
      </c>
      <c r="M126" s="606" t="s">
        <v>117</v>
      </c>
      <c r="N126" s="606"/>
      <c r="O126" s="606"/>
      <c r="P126" s="607"/>
      <c r="Q126" s="607"/>
      <c r="R126"/>
      <c r="S126"/>
      <c r="T126"/>
      <c r="U126"/>
      <c r="V126"/>
      <c r="W126"/>
      <c r="X126"/>
      <c r="Y126"/>
      <c r="Z126"/>
      <c r="AA126"/>
      <c r="AB126"/>
      <c r="AC126" s="13"/>
    </row>
    <row r="127" spans="2:31" s="594" customFormat="1" ht="18" thickBot="1" x14ac:dyDescent="0.35">
      <c r="B127" s="605"/>
      <c r="C127" s="593" t="s">
        <v>126</v>
      </c>
      <c r="D127" s="432">
        <v>800</v>
      </c>
      <c r="E127" s="606" t="s">
        <v>57</v>
      </c>
      <c r="F127" s="606"/>
      <c r="G127" s="609">
        <v>5</v>
      </c>
      <c r="H127" s="606" t="s">
        <v>116</v>
      </c>
      <c r="I127" s="606"/>
      <c r="J127" s="593">
        <v>2018</v>
      </c>
      <c r="K127" s="606"/>
      <c r="L127" s="610">
        <f t="shared" si="3"/>
        <v>4000</v>
      </c>
      <c r="M127" s="606" t="s">
        <v>117</v>
      </c>
      <c r="N127" s="606"/>
      <c r="O127" s="606"/>
      <c r="P127" s="607"/>
      <c r="Q127" s="607"/>
      <c r="R127"/>
      <c r="S127"/>
      <c r="T127"/>
      <c r="U127"/>
      <c r="V127"/>
      <c r="W127"/>
      <c r="X127"/>
      <c r="Y127"/>
      <c r="Z127"/>
      <c r="AA127"/>
      <c r="AB127"/>
      <c r="AC127" s="13"/>
    </row>
    <row r="128" spans="2:31" s="594" customFormat="1" ht="18" thickBot="1" x14ac:dyDescent="0.35">
      <c r="B128" s="605"/>
      <c r="C128" s="593" t="s">
        <v>127</v>
      </c>
      <c r="D128" s="432">
        <v>1100</v>
      </c>
      <c r="E128" s="606" t="s">
        <v>57</v>
      </c>
      <c r="F128" s="606"/>
      <c r="G128" s="609">
        <v>5</v>
      </c>
      <c r="H128" s="606" t="s">
        <v>116</v>
      </c>
      <c r="I128" s="606"/>
      <c r="J128" s="593">
        <v>2019</v>
      </c>
      <c r="K128" s="606"/>
      <c r="L128" s="610">
        <f t="shared" si="3"/>
        <v>5500</v>
      </c>
      <c r="M128" s="606" t="s">
        <v>117</v>
      </c>
      <c r="N128" s="606"/>
      <c r="O128" s="606"/>
      <c r="P128" s="607"/>
      <c r="Q128" s="607"/>
      <c r="U128"/>
      <c r="V128"/>
      <c r="W128"/>
      <c r="X128"/>
      <c r="Y128"/>
      <c r="Z128"/>
      <c r="AA128"/>
      <c r="AB128"/>
      <c r="AC128" s="13"/>
    </row>
    <row r="129" spans="2:31" s="594" customFormat="1" ht="18" thickBot="1" x14ac:dyDescent="0.35">
      <c r="B129" s="605"/>
      <c r="C129" s="593" t="s">
        <v>128</v>
      </c>
      <c r="D129" s="432">
        <v>2.15</v>
      </c>
      <c r="E129" s="606" t="s">
        <v>129</v>
      </c>
      <c r="F129" s="606"/>
      <c r="G129" s="609">
        <v>1750</v>
      </c>
      <c r="H129" s="606" t="s">
        <v>124</v>
      </c>
      <c r="I129" s="606"/>
      <c r="J129" s="593">
        <v>2013</v>
      </c>
      <c r="K129" s="606"/>
      <c r="L129" s="610">
        <f t="shared" si="3"/>
        <v>3762.5</v>
      </c>
      <c r="M129" s="606" t="s">
        <v>117</v>
      </c>
      <c r="N129" s="606"/>
      <c r="O129" s="606"/>
      <c r="P129" s="607"/>
      <c r="Q129" s="607"/>
      <c r="U129"/>
      <c r="V129"/>
      <c r="W129"/>
      <c r="X129"/>
      <c r="Y129"/>
      <c r="Z129"/>
      <c r="AA129"/>
      <c r="AB129"/>
      <c r="AC129" s="13"/>
    </row>
    <row r="130" spans="2:31" s="594" customFormat="1" ht="18" thickBot="1" x14ac:dyDescent="0.35">
      <c r="B130" s="605"/>
      <c r="C130" s="593" t="s">
        <v>130</v>
      </c>
      <c r="D130" s="432">
        <v>4</v>
      </c>
      <c r="E130" s="606" t="s">
        <v>129</v>
      </c>
      <c r="F130" s="606"/>
      <c r="G130" s="609">
        <v>1751</v>
      </c>
      <c r="H130" s="606" t="s">
        <v>124</v>
      </c>
      <c r="I130" s="606"/>
      <c r="J130" s="593">
        <v>2014</v>
      </c>
      <c r="K130" s="606"/>
      <c r="L130" s="610">
        <f t="shared" ref="L130" si="4">D130*G130</f>
        <v>7004</v>
      </c>
      <c r="M130" s="606" t="s">
        <v>117</v>
      </c>
      <c r="N130" s="606"/>
      <c r="O130" s="606"/>
      <c r="P130" s="607"/>
      <c r="Q130" s="607"/>
      <c r="AC130" s="13"/>
    </row>
    <row r="131" spans="2:31" s="594" customFormat="1" ht="18" thickBot="1" x14ac:dyDescent="0.35">
      <c r="B131" s="605"/>
      <c r="C131" s="593" t="s">
        <v>131</v>
      </c>
      <c r="D131" s="432">
        <v>200</v>
      </c>
      <c r="E131" s="606" t="s">
        <v>74</v>
      </c>
      <c r="F131" s="606"/>
      <c r="G131" s="609">
        <v>1</v>
      </c>
      <c r="H131" s="606" t="s">
        <v>116</v>
      </c>
      <c r="I131" s="606"/>
      <c r="J131" s="593">
        <v>2013</v>
      </c>
      <c r="K131" s="606"/>
      <c r="L131" s="610">
        <f t="shared" si="3"/>
        <v>200</v>
      </c>
      <c r="M131" s="606" t="s">
        <v>117</v>
      </c>
      <c r="N131" s="606"/>
      <c r="O131" s="606"/>
      <c r="P131" s="607"/>
      <c r="Q131" s="607"/>
      <c r="AC131" s="13"/>
    </row>
    <row r="132" spans="2:31" s="594" customFormat="1" ht="18" thickBot="1" x14ac:dyDescent="0.35">
      <c r="B132" s="605"/>
      <c r="C132" s="593" t="s">
        <v>132</v>
      </c>
      <c r="D132" s="432">
        <v>500</v>
      </c>
      <c r="E132" s="606" t="s">
        <v>74</v>
      </c>
      <c r="F132" s="606"/>
      <c r="G132" s="609">
        <v>1</v>
      </c>
      <c r="H132" s="606" t="s">
        <v>116</v>
      </c>
      <c r="I132" s="606"/>
      <c r="J132" s="593">
        <v>2008</v>
      </c>
      <c r="K132" s="606"/>
      <c r="L132" s="610">
        <f t="shared" si="3"/>
        <v>500</v>
      </c>
      <c r="M132" s="606" t="s">
        <v>117</v>
      </c>
      <c r="N132" s="606"/>
      <c r="O132" s="606"/>
      <c r="P132" s="607"/>
      <c r="Q132" s="607"/>
      <c r="AC132" s="13"/>
    </row>
    <row r="133" spans="2:31" s="594" customFormat="1" ht="18" thickBot="1" x14ac:dyDescent="0.35">
      <c r="B133" s="605"/>
      <c r="C133" s="593" t="s">
        <v>133</v>
      </c>
      <c r="D133" s="432">
        <v>5.5</v>
      </c>
      <c r="E133" s="606" t="s">
        <v>134</v>
      </c>
      <c r="F133" s="606"/>
      <c r="G133" s="609">
        <v>5000</v>
      </c>
      <c r="H133" s="606" t="s">
        <v>30</v>
      </c>
      <c r="I133" s="606"/>
      <c r="J133" s="593">
        <v>2020</v>
      </c>
      <c r="K133" s="606"/>
      <c r="L133" s="610">
        <f t="shared" ref="L133:L134" si="5">D133*G133</f>
        <v>27500</v>
      </c>
      <c r="M133" s="606" t="s">
        <v>117</v>
      </c>
      <c r="N133" s="606"/>
      <c r="O133" s="606"/>
      <c r="P133" s="607"/>
      <c r="Q133" s="607"/>
      <c r="AC133" s="13"/>
    </row>
    <row r="134" spans="2:31" s="594" customFormat="1" ht="18" thickBot="1" x14ac:dyDescent="0.35">
      <c r="B134" s="605"/>
      <c r="C134" s="923" t="s">
        <v>135</v>
      </c>
      <c r="D134" s="432">
        <v>1</v>
      </c>
      <c r="E134" s="606" t="s">
        <v>134</v>
      </c>
      <c r="F134" s="606"/>
      <c r="G134" s="609">
        <v>5000</v>
      </c>
      <c r="H134" s="606" t="s">
        <v>30</v>
      </c>
      <c r="I134" s="606"/>
      <c r="J134" s="593">
        <v>2020</v>
      </c>
      <c r="K134" s="606"/>
      <c r="L134" s="610">
        <f t="shared" si="5"/>
        <v>5000</v>
      </c>
      <c r="M134" s="606" t="s">
        <v>117</v>
      </c>
      <c r="N134" s="606"/>
      <c r="O134" s="606"/>
      <c r="P134" s="607"/>
      <c r="Q134" s="607"/>
      <c r="AC134" s="13"/>
    </row>
    <row r="135" spans="2:31" s="594" customFormat="1" ht="18" thickBot="1" x14ac:dyDescent="0.35">
      <c r="B135" s="605"/>
      <c r="C135" s="685" t="s">
        <v>136</v>
      </c>
      <c r="D135" s="686">
        <v>70</v>
      </c>
      <c r="E135" s="687" t="s">
        <v>74</v>
      </c>
      <c r="F135" s="606"/>
      <c r="G135" s="688">
        <v>200</v>
      </c>
      <c r="H135" s="687" t="s">
        <v>116</v>
      </c>
      <c r="I135" s="606"/>
      <c r="J135" s="685">
        <v>2020</v>
      </c>
      <c r="K135" s="606"/>
      <c r="L135" s="689">
        <v>14000</v>
      </c>
      <c r="M135" s="687" t="s">
        <v>117</v>
      </c>
      <c r="N135" s="606"/>
      <c r="O135" s="606"/>
      <c r="P135" s="607"/>
      <c r="Q135" s="607"/>
      <c r="AC135" s="13"/>
    </row>
    <row r="136" spans="2:31" s="594" customFormat="1" ht="18" thickBot="1" x14ac:dyDescent="0.35">
      <c r="B136" s="605"/>
      <c r="C136" s="685" t="s">
        <v>137</v>
      </c>
      <c r="D136" s="686">
        <v>350</v>
      </c>
      <c r="E136" s="687" t="s">
        <v>74</v>
      </c>
      <c r="F136" s="606"/>
      <c r="G136" s="688">
        <v>1</v>
      </c>
      <c r="H136" s="687" t="s">
        <v>116</v>
      </c>
      <c r="I136" s="606"/>
      <c r="J136" s="685">
        <v>2020</v>
      </c>
      <c r="K136" s="606"/>
      <c r="L136" s="689">
        <v>350</v>
      </c>
      <c r="M136" s="687" t="s">
        <v>117</v>
      </c>
      <c r="N136" s="606"/>
      <c r="O136" s="606"/>
      <c r="P136" s="607"/>
      <c r="Q136" s="607"/>
      <c r="AC136" s="13"/>
    </row>
    <row r="137" spans="2:31" s="594" customFormat="1" ht="18" thickBot="1" x14ac:dyDescent="0.35">
      <c r="B137" s="605"/>
      <c r="C137" s="593" t="s">
        <v>138</v>
      </c>
      <c r="D137" s="432"/>
      <c r="E137" s="687" t="s">
        <v>74</v>
      </c>
      <c r="F137" s="606"/>
      <c r="G137" s="609">
        <v>1</v>
      </c>
      <c r="H137" s="606" t="s">
        <v>116</v>
      </c>
      <c r="I137" s="606"/>
      <c r="J137" s="593">
        <v>2024</v>
      </c>
      <c r="K137" s="606"/>
      <c r="L137" s="610">
        <f t="shared" si="3"/>
        <v>0</v>
      </c>
      <c r="M137" s="606" t="s">
        <v>117</v>
      </c>
      <c r="N137" s="606"/>
      <c r="O137" s="606"/>
      <c r="P137" s="607"/>
      <c r="Q137" s="607"/>
      <c r="AC137" s="13"/>
    </row>
    <row r="138" spans="2:31" s="594" customFormat="1" ht="18" thickBot="1" x14ac:dyDescent="0.35">
      <c r="B138" s="605"/>
      <c r="C138" s="593" t="s">
        <v>138</v>
      </c>
      <c r="D138" s="432"/>
      <c r="E138" s="687" t="s">
        <v>74</v>
      </c>
      <c r="F138" s="606"/>
      <c r="G138" s="609">
        <v>1</v>
      </c>
      <c r="H138" s="606" t="s">
        <v>116</v>
      </c>
      <c r="I138" s="606"/>
      <c r="J138" s="593">
        <v>2024</v>
      </c>
      <c r="K138" s="606"/>
      <c r="L138" s="610">
        <f t="shared" si="3"/>
        <v>0</v>
      </c>
      <c r="M138" s="606" t="s">
        <v>117</v>
      </c>
      <c r="N138" s="606"/>
      <c r="O138" s="606"/>
      <c r="P138" s="607"/>
      <c r="Q138" s="607"/>
      <c r="AC138" s="13"/>
    </row>
    <row r="139" spans="2:31" s="594" customFormat="1" ht="18" thickBot="1" x14ac:dyDescent="0.35">
      <c r="B139" s="605"/>
      <c r="C139" s="593" t="s">
        <v>138</v>
      </c>
      <c r="D139" s="432"/>
      <c r="E139" s="687" t="s">
        <v>74</v>
      </c>
      <c r="F139" s="606"/>
      <c r="G139" s="609">
        <v>1</v>
      </c>
      <c r="H139" s="606" t="s">
        <v>116</v>
      </c>
      <c r="I139" s="606"/>
      <c r="J139" s="593">
        <v>2024</v>
      </c>
      <c r="K139" s="606"/>
      <c r="L139" s="610">
        <f t="shared" si="3"/>
        <v>0</v>
      </c>
      <c r="M139" s="606" t="s">
        <v>117</v>
      </c>
      <c r="N139" s="606"/>
      <c r="O139" s="606"/>
      <c r="P139" s="607"/>
      <c r="Q139" s="607"/>
      <c r="AC139" s="13"/>
    </row>
    <row r="140" spans="2:31" x14ac:dyDescent="0.3">
      <c r="B140" s="141"/>
      <c r="C140" s="142"/>
      <c r="D140" s="430"/>
      <c r="E140" s="142"/>
      <c r="F140" s="142"/>
      <c r="G140" s="429"/>
      <c r="H140" s="142"/>
      <c r="I140" s="142"/>
      <c r="J140" s="142"/>
      <c r="K140" s="142"/>
      <c r="L140" s="142"/>
      <c r="M140" s="142"/>
      <c r="N140" s="142"/>
      <c r="O140" s="142"/>
      <c r="P140" s="142"/>
      <c r="Q140" s="425"/>
      <c r="R140" s="594"/>
      <c r="S140" s="594"/>
      <c r="T140" s="594"/>
      <c r="U140" s="594"/>
      <c r="V140" s="594"/>
      <c r="W140" s="594"/>
      <c r="X140" s="594"/>
      <c r="Y140" s="594"/>
      <c r="Z140" s="594"/>
      <c r="AA140" s="594"/>
      <c r="AB140" s="594"/>
      <c r="AD140" s="594"/>
      <c r="AE140" s="594"/>
    </row>
    <row r="141" spans="2:31" x14ac:dyDescent="0.3">
      <c r="B141" s="141" t="s">
        <v>139</v>
      </c>
      <c r="C141" s="142"/>
      <c r="D141" s="430"/>
      <c r="E141" s="142"/>
      <c r="F141" s="142"/>
      <c r="G141" s="429"/>
      <c r="H141" s="142"/>
      <c r="I141" s="142"/>
      <c r="J141" s="142"/>
      <c r="K141" s="142"/>
      <c r="L141" s="142"/>
      <c r="M141" s="142"/>
      <c r="N141" s="142"/>
      <c r="O141" s="142"/>
      <c r="P141" s="142"/>
      <c r="Q141" s="425"/>
      <c r="R141" s="594"/>
      <c r="S141" s="594"/>
      <c r="T141" s="594"/>
      <c r="U141" s="594"/>
      <c r="V141" s="594"/>
      <c r="W141" s="594"/>
      <c r="X141" s="594"/>
      <c r="Y141" s="594"/>
      <c r="Z141" s="594"/>
      <c r="AA141" s="594"/>
      <c r="AB141" s="594"/>
      <c r="AD141" s="594"/>
      <c r="AE141" s="594"/>
    </row>
    <row r="142" spans="2:31" ht="18" thickBot="1" x14ac:dyDescent="0.35">
      <c r="B142" s="141"/>
      <c r="C142" s="142"/>
      <c r="D142" s="142" t="s">
        <v>113</v>
      </c>
      <c r="E142" s="142"/>
      <c r="F142" s="142"/>
      <c r="G142" s="142" t="s">
        <v>114</v>
      </c>
      <c r="H142" s="142"/>
      <c r="I142" s="142"/>
      <c r="J142" s="172" t="s">
        <v>72</v>
      </c>
      <c r="K142" s="142"/>
      <c r="L142" s="142" t="s">
        <v>140</v>
      </c>
      <c r="M142" s="142"/>
      <c r="N142" s="142"/>
      <c r="O142" s="142"/>
      <c r="P142" s="142"/>
      <c r="Q142" s="425"/>
      <c r="R142" s="594"/>
      <c r="S142" s="594"/>
      <c r="T142" s="594"/>
      <c r="U142" s="594"/>
      <c r="V142" s="594"/>
      <c r="W142" s="594"/>
      <c r="X142" s="594"/>
      <c r="Y142" s="594"/>
      <c r="Z142" s="594"/>
      <c r="AA142" s="594"/>
      <c r="AB142" s="594"/>
    </row>
    <row r="143" spans="2:31" ht="18" thickBot="1" x14ac:dyDescent="0.35">
      <c r="B143" s="141"/>
      <c r="C143" s="72" t="s">
        <v>141</v>
      </c>
      <c r="D143" s="173">
        <v>3000</v>
      </c>
      <c r="E143" s="142" t="s">
        <v>57</v>
      </c>
      <c r="F143" s="142"/>
      <c r="G143" s="159">
        <v>20</v>
      </c>
      <c r="H143" s="142" t="s">
        <v>7</v>
      </c>
      <c r="I143" s="142"/>
      <c r="J143" s="72">
        <v>1975</v>
      </c>
      <c r="K143" s="142"/>
      <c r="L143" s="431">
        <f>D143*G143</f>
        <v>60000</v>
      </c>
      <c r="M143" s="142" t="s">
        <v>117</v>
      </c>
      <c r="N143" s="142"/>
      <c r="O143" s="142"/>
      <c r="P143" s="142"/>
      <c r="Q143" s="425"/>
      <c r="R143" s="594"/>
      <c r="S143" s="594"/>
      <c r="T143" s="594"/>
      <c r="U143" s="594"/>
      <c r="V143" s="594"/>
      <c r="W143" s="594"/>
      <c r="X143" s="594"/>
      <c r="Y143" s="594"/>
      <c r="Z143" s="594"/>
      <c r="AA143" s="594"/>
      <c r="AB143" s="594"/>
    </row>
    <row r="144" spans="2:31" x14ac:dyDescent="0.3">
      <c r="B144" s="143"/>
      <c r="C144" s="175"/>
      <c r="D144" s="175"/>
      <c r="E144" s="175"/>
      <c r="F144" s="175"/>
      <c r="G144" s="175"/>
      <c r="H144" s="175"/>
      <c r="I144" s="175"/>
      <c r="J144" s="175"/>
      <c r="K144" s="175"/>
      <c r="L144" s="175"/>
      <c r="M144" s="175"/>
      <c r="N144" s="175"/>
      <c r="O144" s="175"/>
      <c r="P144" s="144"/>
      <c r="Q144" s="145"/>
      <c r="R144" s="594"/>
      <c r="S144" s="594"/>
      <c r="T144" s="594"/>
      <c r="U144" s="594"/>
      <c r="V144" s="594"/>
      <c r="W144" s="594"/>
      <c r="X144" s="594"/>
      <c r="Y144" s="594"/>
      <c r="Z144" s="594"/>
      <c r="AA144" s="594"/>
      <c r="AB144" s="594"/>
    </row>
    <row r="145" spans="2:28" x14ac:dyDescent="0.3">
      <c r="R145" s="594"/>
      <c r="S145" s="594"/>
      <c r="T145" s="594"/>
      <c r="U145" s="594"/>
      <c r="V145" s="594"/>
      <c r="W145" s="594"/>
      <c r="X145" s="594"/>
      <c r="Y145" s="594"/>
      <c r="Z145" s="594"/>
      <c r="AA145" s="594"/>
      <c r="AB145" s="594"/>
    </row>
    <row r="146" spans="2:28" x14ac:dyDescent="0.3">
      <c r="R146" s="594"/>
      <c r="S146" s="594"/>
      <c r="T146" s="594"/>
      <c r="U146" s="594"/>
      <c r="V146" s="594"/>
      <c r="W146" s="594"/>
      <c r="X146" s="594"/>
      <c r="Y146" s="594"/>
      <c r="Z146" s="594"/>
      <c r="AA146" s="594"/>
      <c r="AB146" s="594"/>
    </row>
    <row r="147" spans="2:28" ht="25.2" thickBot="1" x14ac:dyDescent="0.45">
      <c r="B147" s="1052" t="s">
        <v>142</v>
      </c>
      <c r="C147" s="1053"/>
      <c r="D147" s="146"/>
      <c r="E147" s="146"/>
      <c r="F147" s="146"/>
      <c r="G147" s="146"/>
      <c r="H147" s="146"/>
      <c r="I147" s="146"/>
      <c r="J147" s="146"/>
      <c r="K147" s="146"/>
      <c r="L147" s="146"/>
      <c r="M147" s="146"/>
      <c r="N147" s="146"/>
      <c r="O147" s="146"/>
      <c r="P147" s="146"/>
      <c r="Q147" s="147"/>
      <c r="R147" s="594"/>
      <c r="S147" s="594"/>
      <c r="T147" s="594"/>
      <c r="U147" s="594"/>
      <c r="V147" s="594"/>
      <c r="W147" s="594"/>
      <c r="X147" s="594"/>
      <c r="Y147" s="594"/>
      <c r="Z147" s="594"/>
      <c r="AA147" s="594"/>
      <c r="AB147" s="594"/>
    </row>
    <row r="148" spans="2:28" ht="22.95" customHeight="1" x14ac:dyDescent="0.25">
      <c r="B148" s="148"/>
      <c r="C148" s="82"/>
      <c r="D148" s="82"/>
      <c r="E148" s="82"/>
      <c r="F148" s="82"/>
      <c r="G148" s="82"/>
      <c r="H148" s="82"/>
      <c r="I148" s="79"/>
      <c r="J148" s="79"/>
      <c r="K148" s="79"/>
      <c r="L148" s="79"/>
      <c r="M148" s="79"/>
      <c r="N148" s="79"/>
      <c r="O148" s="79"/>
      <c r="P148" s="79"/>
      <c r="Q148" s="149"/>
      <c r="R148" s="594"/>
      <c r="S148" s="594"/>
      <c r="T148" s="594"/>
      <c r="U148" s="594"/>
      <c r="V148" s="594"/>
      <c r="W148" s="594"/>
      <c r="X148" s="594"/>
      <c r="Y148" s="594"/>
      <c r="Z148" s="594"/>
      <c r="AA148" s="594"/>
      <c r="AB148" s="594"/>
    </row>
    <row r="149" spans="2:28" ht="22.95" customHeight="1" x14ac:dyDescent="0.3">
      <c r="B149" s="150" t="s">
        <v>143</v>
      </c>
      <c r="C149" s="82"/>
      <c r="D149" s="82"/>
      <c r="E149" s="82"/>
      <c r="F149" s="82"/>
      <c r="G149" s="82"/>
      <c r="H149" s="82"/>
      <c r="I149" s="79"/>
      <c r="J149" s="79"/>
      <c r="K149" s="79"/>
      <c r="L149" s="79"/>
      <c r="M149" s="79"/>
      <c r="N149" s="79"/>
      <c r="O149" s="79"/>
      <c r="P149" s="79"/>
      <c r="Q149" s="149"/>
      <c r="U149" s="594"/>
      <c r="V149" s="594"/>
      <c r="W149" s="594"/>
      <c r="X149" s="594"/>
      <c r="Y149" s="594"/>
      <c r="Z149" s="594"/>
      <c r="AA149" s="594"/>
      <c r="AB149" s="594"/>
    </row>
    <row r="150" spans="2:28" ht="13.8" thickBot="1" x14ac:dyDescent="0.3">
      <c r="B150" s="151"/>
      <c r="C150" s="82"/>
      <c r="D150" s="79"/>
      <c r="E150" s="79"/>
      <c r="F150" s="79"/>
      <c r="G150" s="79"/>
      <c r="H150" s="79"/>
      <c r="I150" s="79"/>
      <c r="J150" s="79"/>
      <c r="K150" s="79"/>
      <c r="L150" s="79"/>
      <c r="M150" s="79"/>
      <c r="N150" s="79"/>
      <c r="O150" s="79"/>
      <c r="P150" s="79"/>
      <c r="Q150" s="149"/>
      <c r="U150" s="594"/>
      <c r="V150" s="594"/>
      <c r="W150" s="594"/>
      <c r="X150" s="594"/>
      <c r="Y150" s="594"/>
      <c r="Z150" s="594"/>
      <c r="AA150" s="594"/>
      <c r="AB150" s="594"/>
    </row>
    <row r="151" spans="2:28" ht="18" thickBot="1" x14ac:dyDescent="0.35">
      <c r="B151" s="150"/>
      <c r="C151" s="152" t="s">
        <v>144</v>
      </c>
      <c r="D151" s="79"/>
      <c r="E151" s="79"/>
      <c r="F151" s="79"/>
      <c r="G151" s="664">
        <v>3000</v>
      </c>
      <c r="H151" s="152" t="s">
        <v>145</v>
      </c>
      <c r="I151" s="79"/>
      <c r="J151" s="79"/>
      <c r="K151" s="79"/>
      <c r="L151" s="79"/>
      <c r="M151" s="79"/>
      <c r="N151" s="79"/>
      <c r="O151" s="79"/>
      <c r="P151" s="79"/>
      <c r="Q151" s="149"/>
    </row>
    <row r="152" spans="2:28" ht="18" thickBot="1" x14ac:dyDescent="0.35">
      <c r="B152" s="150"/>
      <c r="C152" s="152" t="s">
        <v>146</v>
      </c>
      <c r="D152" s="79"/>
      <c r="E152" s="79"/>
      <c r="F152" s="79"/>
      <c r="G152" s="665">
        <v>200</v>
      </c>
      <c r="H152" s="152" t="s">
        <v>145</v>
      </c>
      <c r="I152" s="79"/>
      <c r="J152" s="79"/>
      <c r="K152" s="79"/>
      <c r="L152" s="79"/>
      <c r="M152" s="79"/>
      <c r="N152" s="79"/>
      <c r="O152" s="79"/>
      <c r="P152" s="79"/>
      <c r="Q152" s="149"/>
    </row>
    <row r="153" spans="2:28" ht="18" thickBot="1" x14ac:dyDescent="0.35">
      <c r="B153" s="150"/>
      <c r="C153" s="152" t="s">
        <v>147</v>
      </c>
      <c r="D153" s="79"/>
      <c r="E153" s="79"/>
      <c r="F153" s="79"/>
      <c r="G153" s="665">
        <v>200</v>
      </c>
      <c r="H153" s="152" t="s">
        <v>145</v>
      </c>
      <c r="I153" s="79"/>
      <c r="J153" s="79"/>
      <c r="K153" s="79"/>
      <c r="L153" s="79"/>
      <c r="M153" s="79"/>
      <c r="N153" s="79"/>
      <c r="O153" s="79"/>
      <c r="P153" s="79"/>
      <c r="Q153" s="149"/>
    </row>
    <row r="154" spans="2:28" ht="18" thickBot="1" x14ac:dyDescent="0.35">
      <c r="B154" s="150"/>
      <c r="C154" s="152" t="s">
        <v>148</v>
      </c>
      <c r="D154" s="79"/>
      <c r="E154" s="79"/>
      <c r="F154" s="79"/>
      <c r="G154" s="665">
        <v>1500</v>
      </c>
      <c r="H154" s="152" t="s">
        <v>145</v>
      </c>
      <c r="I154" s="79"/>
      <c r="J154" s="79"/>
      <c r="K154" s="79"/>
      <c r="L154" s="79"/>
      <c r="M154" s="79"/>
      <c r="N154" s="79"/>
      <c r="O154" s="79"/>
      <c r="P154" s="79"/>
      <c r="Q154" s="149"/>
    </row>
    <row r="155" spans="2:28" ht="18" thickBot="1" x14ac:dyDescent="0.35">
      <c r="B155" s="150"/>
      <c r="C155" s="152" t="s">
        <v>149</v>
      </c>
      <c r="D155" s="79"/>
      <c r="E155" s="79"/>
      <c r="F155" s="79"/>
      <c r="G155" s="665">
        <v>200</v>
      </c>
      <c r="H155" s="152" t="s">
        <v>145</v>
      </c>
      <c r="I155" s="79"/>
      <c r="J155" s="79"/>
      <c r="K155" s="79"/>
      <c r="L155" s="79"/>
      <c r="M155" s="79"/>
      <c r="N155" s="79"/>
      <c r="O155" s="79"/>
      <c r="P155" s="79"/>
      <c r="Q155" s="149"/>
    </row>
    <row r="156" spans="2:28" ht="18" thickBot="1" x14ac:dyDescent="0.35">
      <c r="B156" s="150"/>
      <c r="C156" s="152" t="s">
        <v>150</v>
      </c>
      <c r="D156" s="79"/>
      <c r="E156" s="79"/>
      <c r="F156" s="79"/>
      <c r="G156" s="665">
        <v>100</v>
      </c>
      <c r="H156" s="152" t="s">
        <v>145</v>
      </c>
      <c r="I156" s="79"/>
      <c r="J156" s="79"/>
      <c r="K156" s="79"/>
      <c r="L156" s="79"/>
      <c r="M156" s="79"/>
      <c r="N156" s="79"/>
      <c r="O156" s="79"/>
      <c r="P156" s="79"/>
      <c r="Q156" s="149"/>
    </row>
    <row r="157" spans="2:28" ht="18" thickBot="1" x14ac:dyDescent="0.35">
      <c r="B157" s="150"/>
      <c r="C157" s="152" t="s">
        <v>151</v>
      </c>
      <c r="D157" s="79"/>
      <c r="E157" s="79"/>
      <c r="F157" s="79"/>
      <c r="G157" s="665">
        <v>1000</v>
      </c>
      <c r="H157" s="152" t="s">
        <v>145</v>
      </c>
      <c r="I157" s="79"/>
      <c r="J157" s="79"/>
      <c r="K157" s="79"/>
      <c r="L157" s="79"/>
      <c r="M157" s="79"/>
      <c r="N157" s="79"/>
      <c r="O157" s="79"/>
      <c r="P157" s="79"/>
      <c r="Q157" s="149"/>
    </row>
    <row r="158" spans="2:28" ht="18" thickBot="1" x14ac:dyDescent="0.35">
      <c r="B158" s="150"/>
      <c r="C158" s="152" t="s">
        <v>152</v>
      </c>
      <c r="D158" s="79"/>
      <c r="E158" s="79"/>
      <c r="F158" s="79"/>
      <c r="G158" s="665">
        <v>1500</v>
      </c>
      <c r="H158" s="152" t="s">
        <v>145</v>
      </c>
      <c r="I158" s="79"/>
      <c r="J158" s="79"/>
      <c r="K158" s="79"/>
      <c r="L158" s="79"/>
      <c r="M158" s="79"/>
      <c r="N158" s="79"/>
      <c r="O158" s="79"/>
      <c r="P158" s="79"/>
      <c r="Q158" s="149"/>
    </row>
    <row r="159" spans="2:28" ht="18" thickBot="1" x14ac:dyDescent="0.35">
      <c r="B159" s="150"/>
      <c r="C159" s="152" t="s">
        <v>153</v>
      </c>
      <c r="D159" s="79"/>
      <c r="E159" s="79"/>
      <c r="F159" s="79"/>
      <c r="G159" s="665">
        <v>2000</v>
      </c>
      <c r="H159" s="152" t="s">
        <v>145</v>
      </c>
      <c r="I159" s="79"/>
      <c r="J159" s="79"/>
      <c r="K159" s="79"/>
      <c r="L159" s="79"/>
      <c r="M159" s="79"/>
      <c r="N159" s="79"/>
      <c r="O159" s="79"/>
      <c r="P159" s="79"/>
      <c r="Q159" s="149"/>
    </row>
    <row r="160" spans="2:28" ht="18" thickBot="1" x14ac:dyDescent="0.35">
      <c r="B160" s="150"/>
      <c r="C160" s="152" t="s">
        <v>154</v>
      </c>
      <c r="D160" s="79"/>
      <c r="E160" s="79"/>
      <c r="F160" s="79"/>
      <c r="G160" s="665">
        <v>1500</v>
      </c>
      <c r="H160" s="152" t="s">
        <v>145</v>
      </c>
      <c r="I160" s="79"/>
      <c r="J160" s="79"/>
      <c r="K160" s="79"/>
      <c r="L160" s="79"/>
      <c r="M160" s="79"/>
      <c r="N160" s="79"/>
      <c r="O160" s="79"/>
      <c r="P160" s="79"/>
      <c r="Q160" s="149"/>
    </row>
    <row r="161" spans="2:17" ht="18" thickBot="1" x14ac:dyDescent="0.35">
      <c r="B161" s="150"/>
      <c r="C161" s="152" t="s">
        <v>155</v>
      </c>
      <c r="D161" s="79"/>
      <c r="E161" s="79"/>
      <c r="F161" s="79"/>
      <c r="G161" s="665"/>
      <c r="H161" s="152" t="s">
        <v>145</v>
      </c>
      <c r="I161" s="79"/>
      <c r="J161" s="79"/>
      <c r="K161" s="79"/>
      <c r="L161" s="79"/>
      <c r="M161" s="79"/>
      <c r="N161" s="79"/>
      <c r="O161" s="79"/>
      <c r="P161" s="79"/>
      <c r="Q161" s="149"/>
    </row>
    <row r="162" spans="2:17" ht="18" thickBot="1" x14ac:dyDescent="0.35">
      <c r="B162" s="150"/>
      <c r="C162" s="152" t="s">
        <v>155</v>
      </c>
      <c r="D162" s="79"/>
      <c r="E162" s="79"/>
      <c r="F162" s="79"/>
      <c r="G162" s="665"/>
      <c r="H162" s="152" t="s">
        <v>145</v>
      </c>
      <c r="I162" s="79"/>
      <c r="J162" s="79"/>
      <c r="K162" s="79"/>
      <c r="L162" s="79"/>
      <c r="M162" s="79"/>
      <c r="N162" s="79"/>
      <c r="O162" s="79"/>
      <c r="P162" s="79"/>
      <c r="Q162" s="149"/>
    </row>
    <row r="163" spans="2:17" ht="18" x14ac:dyDescent="0.35">
      <c r="B163" s="150"/>
      <c r="C163" s="271" t="s">
        <v>54</v>
      </c>
      <c r="D163" s="79"/>
      <c r="E163" s="79"/>
      <c r="F163" s="79"/>
      <c r="G163" s="273">
        <f>SUM(G151:G162)</f>
        <v>11200</v>
      </c>
      <c r="H163" s="152" t="s">
        <v>145</v>
      </c>
      <c r="I163" s="79"/>
      <c r="J163" s="79"/>
      <c r="K163" s="79"/>
      <c r="L163" s="79"/>
      <c r="M163" s="79"/>
      <c r="N163" s="79"/>
      <c r="O163" s="79"/>
      <c r="P163" s="79"/>
      <c r="Q163" s="149"/>
    </row>
    <row r="164" spans="2:17" x14ac:dyDescent="0.3">
      <c r="B164" s="153"/>
      <c r="C164" s="154"/>
      <c r="D164" s="154"/>
      <c r="E164" s="154"/>
      <c r="F164" s="154"/>
      <c r="G164" s="154"/>
      <c r="H164" s="154"/>
      <c r="I164" s="154"/>
      <c r="J164" s="154"/>
      <c r="K164" s="154"/>
      <c r="L164" s="154"/>
      <c r="M164" s="154"/>
      <c r="N164" s="154"/>
      <c r="O164" s="154"/>
      <c r="P164" s="154"/>
      <c r="Q164" s="155"/>
    </row>
  </sheetData>
  <mergeCells count="33">
    <mergeCell ref="B147:C147"/>
    <mergeCell ref="B60:C60"/>
    <mergeCell ref="B62:M62"/>
    <mergeCell ref="B64:M64"/>
    <mergeCell ref="B82:C82"/>
    <mergeCell ref="B66:C66"/>
    <mergeCell ref="G118:H118"/>
    <mergeCell ref="G55:H55"/>
    <mergeCell ref="G56:H56"/>
    <mergeCell ref="G57:H57"/>
    <mergeCell ref="B53:Q53"/>
    <mergeCell ref="B115:C115"/>
    <mergeCell ref="B31:C31"/>
    <mergeCell ref="B32:C32"/>
    <mergeCell ref="B33:C33"/>
    <mergeCell ref="B34:C34"/>
    <mergeCell ref="B11:C11"/>
    <mergeCell ref="G8:H8"/>
    <mergeCell ref="B4:K4"/>
    <mergeCell ref="B27:N27"/>
    <mergeCell ref="B116:M116"/>
    <mergeCell ref="K48:N49"/>
    <mergeCell ref="D26:E26"/>
    <mergeCell ref="G26:H26"/>
    <mergeCell ref="D36:E36"/>
    <mergeCell ref="G36:H36"/>
    <mergeCell ref="B39:C39"/>
    <mergeCell ref="B83:L83"/>
    <mergeCell ref="B67:L67"/>
    <mergeCell ref="B37:C37"/>
    <mergeCell ref="B38:C38"/>
    <mergeCell ref="G11:H11"/>
    <mergeCell ref="D11:E11"/>
  </mergeCells>
  <phoneticPr fontId="2" type="noConversion"/>
  <hyperlinks>
    <hyperlink ref="B28" location="'Jordgubbe friland'!A1" display="JORDGUBBE FRILAND" xr:uid="{87184E76-72A8-DD46-A580-F432D6C1F434}"/>
    <hyperlink ref="B29" location="'Jordgubbe tunnel'!A1" display="JORDGUBBE TUNNEL" xr:uid="{90E84470-D900-2748-84A8-C9E6A72F7F00}"/>
    <hyperlink ref="B30" location="'Hallon friland'!A1" display="HALLON FRILAND" xr:uid="{22A4CD12-660E-1A4E-A0D9-E066E0EC14BB}"/>
    <hyperlink ref="B33" location="Pensasmustikka!A1" display="PENSASMUSTIKKA" xr:uid="{3AD56C78-2940-BD48-840C-402130B5008E}"/>
    <hyperlink ref="B34" location="Omena!A1" display="OMENA" xr:uid="{C68C9C04-24F6-2643-8F0B-B785062C6F8D}"/>
    <hyperlink ref="B66" location="Omaisuus!A1" display="RAKENNUKSET" xr:uid="{5778B9D3-BF09-DF43-952F-96E45E6CDC49}"/>
    <hyperlink ref="B82" location="Omaisuus!A1" display="KONEET JA KALUSTO" xr:uid="{1CDFBCE7-BE50-7048-917E-335FC27DC7FE}"/>
    <hyperlink ref="B115" location="Omaisuus!A1" display="PIDEMPIAIKAISET TUOTANTOVÄLINEET" xr:uid="{79DAE0FD-9892-5F47-B239-4149BBEA1CC0}"/>
    <hyperlink ref="B51" location="Stöd!A1" display="STÖD" xr:uid="{87EF796A-D4DA-C84E-85E7-E7963AF4323C}"/>
    <hyperlink ref="B12" location="Morot!A1" display="MOROT" xr:uid="{6CB777BA-F982-074F-868D-494A3F7D6C76}"/>
    <hyperlink ref="B13" location="Kål!A1" display="KÅL" xr:uid="{22BA9656-4258-AC4F-8A48-7ECD046303C9}"/>
    <hyperlink ref="B14" location="Lök!A1" display="LÖK" xr:uid="{841F3735-472D-1D4A-87E1-FFB4CEBB6B52}"/>
    <hyperlink ref="B37:C37" location="Havre!A1" display="HAVRE" xr:uid="{8A175450-E509-F342-A1AE-2511F6FB459D}"/>
    <hyperlink ref="B38:C38" location="Korn!A1" display="KORN" xr:uid="{5FA56D26-77EF-A34D-AE6B-1B7EE75BFC1C}"/>
    <hyperlink ref="B39:C39" location="Vete!A1" display="VETE" xr:uid="{86756E2E-4C0D-9C42-817F-4D463C46374C}"/>
    <hyperlink ref="B41" location="Naturvårdsåkern!A1" display="NATURVÅRDSÅKER" xr:uid="{6C9CAC2F-59D0-5C4A-B804-E292CF12CED2}"/>
    <hyperlink ref="B42" location="Vall!A1" display="VALL" xr:uid="{21F0A031-223D-AD49-8ADA-96691A6D3459}"/>
    <hyperlink ref="B16" location="Trädgårdsärt!A1" display="TRÄDGÅRSÄRT" xr:uid="{6D21C30A-C27C-C747-B7B5-86009A8D2396}"/>
    <hyperlink ref="B40" location="Höstråg!A1" display="HÖSTRÅG" xr:uid="{846D3A25-7D12-5C47-B3A1-9BF758E62109}"/>
    <hyperlink ref="B17" location="'Grönsak från frö 1'!A1" display="GRÖNSAK FRÅN FRÖ 1" xr:uid="{F3B40BD9-2C26-6248-8B80-A4F822C5AF4B}"/>
    <hyperlink ref="B18" location="'Grönsak från frö 2'!A1" display="GRÖNSAK FRÅN FRÖ 2" xr:uid="{4800F554-CA8A-F841-BE87-F3BB4DBC2D8E}"/>
    <hyperlink ref="R20" location="'Jordgubbe friland'!A1" display="JORDGUBBE FRILAND" xr:uid="{5F3AFBC8-E801-854D-9308-EEAD5BFBEC18}"/>
    <hyperlink ref="R26" location="'Jordgubbe tunnel'!A1" display="JORDGUBBE TUNNEL" xr:uid="{98A06EF7-24FA-E447-AD87-EF28FA1F5FAF}"/>
    <hyperlink ref="R27" location="Tunnelimansikka!A1" display="Tunnelimansikka!A1" xr:uid="{7F2B32D7-5838-8145-A494-A705FAEB8CF6}"/>
    <hyperlink ref="R29" location="'Hallon friland'!A1" display="HALLON FRILAND" xr:uid="{71FC767C-B040-D340-A835-1EF575804CD4}"/>
    <hyperlink ref="R32" location="'Hallon tunnel'!A1" display="HALLON TUNNEL" xr:uid="{DE5F973D-EB2B-C949-816E-C13482CF8913}"/>
    <hyperlink ref="R33" location="Tunnelivaldelma!A1" display="TUNNELIVADELMA" xr:uid="{6F8642B1-749F-A94A-BA28-D0F0AC967330}"/>
    <hyperlink ref="R30" location="'Avomaan vadelma'!A1" display="AVOMAAN VADELMA" xr:uid="{A8249E30-479B-3144-A05B-A3B0BC8B37BD}"/>
    <hyperlink ref="B32" location="Mustaherukka!A1" display="MUSTAHERUKKA" xr:uid="{DFDAADF9-8AA0-3C40-A92A-51A65498B09D}"/>
    <hyperlink ref="B31" location="Tunnelivaldelma!A1" display="TUNNELIVADELMA" xr:uid="{9D494647-FD97-1D43-AE8E-2043CA85D1C3}"/>
    <hyperlink ref="R41" location="Äpple!A1" display="ÄPPLE" xr:uid="{431AAAF1-96CC-9A43-90DC-A922446A1423}"/>
    <hyperlink ref="R38" location="Buskblåbär!A1" display="BUSKEBLÅBÄR" xr:uid="{E84E5B7B-4593-1F45-99B2-4C0BF4BAFAFD}"/>
    <hyperlink ref="R35" location="'Svarta vinbär'!A1" display="SVARTA VINBÄR" xr:uid="{E8B41363-F2D0-5A4F-9CA7-0F9F4E373F1F}"/>
    <hyperlink ref="A28" location="'Tilan tiedot'!U17" display="☆" xr:uid="{B4F6B272-48C1-7345-8B80-3657CF859398}"/>
    <hyperlink ref="A29" location="'Tilan tiedot'!U20" display="☆" xr:uid="{351CB561-7C86-9345-B705-8AAC241BB8C4}"/>
    <hyperlink ref="A30" location="'Tilan tiedot'!U23" display="☆" xr:uid="{B01C0946-2EC8-EA48-9C55-EC78F94377FC}"/>
    <hyperlink ref="A31" location="'Tilan tiedot'!U26" display="☆" xr:uid="{87D021B7-F049-8745-BC84-4F12287895DB}"/>
    <hyperlink ref="A32" location="'Tilan tiedot'!U29" display="☆" xr:uid="{7A423B3C-C560-8D45-8AA3-27C21598C48B}"/>
    <hyperlink ref="A33" location="'Tilan tiedot'!U32" display="☆" xr:uid="{D16396BE-3AFB-7840-B8F9-FBA1ADE0A7EE}"/>
    <hyperlink ref="A34" location="'Tilan tiedot'!U35" display="☆" xr:uid="{89D5DB24-77DB-C847-A534-6002F8F7062F}"/>
    <hyperlink ref="B23:C23" location="'Kaalin taimikasvatus'!A1" display="KAALIN TAIMIKASVATUS" xr:uid="{ED3D817F-75E3-4065-AE0E-7CC8CA698E00}"/>
    <hyperlink ref="B15" location="Sättlök!A1" display="SÄTTLÖK" xr:uid="{C63D8E88-C1A5-C740-AB9C-8CEDC40B1F63}"/>
    <hyperlink ref="B24" location="Insäktsnät!A1" display="ANVÄNDNING AV INSÄKTSNÄT" xr:uid="{341A1E26-7993-5F48-87D9-341D5D725A85}"/>
    <hyperlink ref="B9" location="Matpotatis!A1" display="POTATIS" xr:uid="{42BEE5F5-AF0D-4A10-9E01-99A8ED7BA6EF}"/>
    <hyperlink ref="B19" location="'Grönsak planterad 1'!A1" display="GRÖNSAK PLANTERAD 1" xr:uid="{6BCE0B6B-4D93-4678-925E-E410EAE66E2B}"/>
    <hyperlink ref="B20" location="'Grönsak planterad 2'!A1" display="GRÖNSAK PLANTERAD 2" xr:uid="{F276F540-EE03-4CB0-8817-AF05F8512B46}"/>
    <hyperlink ref="B21" location="'Grönsak planterad 3'!A1" display="GRÖNSAK PLANTERAD 3" xr:uid="{10394110-7FC4-4D3C-BD55-40768094C52B}"/>
    <hyperlink ref="B23" location="'Förkultivering av kål'!A1" display="FÖRKULTIVERING AV KÅL" xr:uid="{A52019AA-189D-4AF2-848D-7826ED2388F7}"/>
    <hyperlink ref="B31:C31" location="'Hallon tunnel'!A1" display="HALLON TUNNEL" xr:uid="{DBDFD4A3-00F1-48E0-BA14-E227B1722866}"/>
    <hyperlink ref="B32:C32" location="'Svarta vinbär'!A1" display="SVARTA VINBÄR" xr:uid="{FA874A4F-2934-4FB9-87DC-236A08F00654}"/>
    <hyperlink ref="B33:C33" location="Buskblåbär!A1" display="BUSKBLÅBÄR" xr:uid="{EC8698DD-D3D8-49BC-8428-4DA7AD9EAD38}"/>
    <hyperlink ref="B34:C34" location="Äpple!A1" display="ÄPPLE" xr:uid="{48459618-A314-4900-A539-17E8B4C3C6C2}"/>
    <hyperlink ref="B60:C60" location="Omaisuus!A1" display="GÅRDENS EGENDOM" xr:uid="{C7F4BA2E-AA3D-4C66-B768-815E7F2CDB54}"/>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EAC44CB-C541-974E-B3ED-C1980A49C6C2}">
          <x14:formula1>
            <xm:f>Stöd!$Q$4:$Q$5</xm:f>
          </x14:formula1>
          <xm:sqref>G56</xm:sqref>
        </x14:dataValidation>
        <x14:dataValidation type="list" allowBlank="1" showInputMessage="1" showErrorMessage="1" xr:uid="{041A7B9A-60E9-E347-A355-91592B890A29}">
          <x14:formula1>
            <xm:f>Stöd!$R$4:$R$5</xm:f>
          </x14:formula1>
          <xm:sqref>G57:G58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EB57F-990A-0A43-A8C9-C0F3DE800855}">
  <dimension ref="B1:X171"/>
  <sheetViews>
    <sheetView zoomScale="59" zoomScaleNormal="73" workbookViewId="0">
      <selection activeCell="H176" sqref="H176"/>
    </sheetView>
  </sheetViews>
  <sheetFormatPr defaultColWidth="11.44140625" defaultRowHeight="13.2" x14ac:dyDescent="0.25"/>
  <cols>
    <col min="1" max="1" width="7" customWidth="1"/>
    <col min="2" max="2" width="12.6640625" customWidth="1"/>
    <col min="4" max="4" width="15.33203125" customWidth="1"/>
    <col min="5" max="5" width="7.44140625" customWidth="1"/>
    <col min="8" max="8" width="11.109375" bestFit="1" customWidth="1"/>
    <col min="10" max="10" width="15.33203125" customWidth="1"/>
  </cols>
  <sheetData>
    <row r="1" spans="2:24" ht="28.2" customHeight="1" thickBot="1" x14ac:dyDescent="0.3"/>
    <row r="2" spans="2:24" ht="21" x14ac:dyDescent="0.4">
      <c r="B2" s="344" t="s">
        <v>156</v>
      </c>
      <c r="C2" s="335"/>
      <c r="D2" s="335"/>
      <c r="E2" s="335"/>
      <c r="F2" s="335"/>
      <c r="G2" s="335"/>
      <c r="H2" s="335"/>
      <c r="I2" s="335"/>
      <c r="J2" s="335"/>
      <c r="K2" s="336"/>
      <c r="Q2" s="14"/>
      <c r="R2" s="14"/>
      <c r="S2" s="14"/>
      <c r="T2" s="14"/>
      <c r="U2" s="14"/>
      <c r="V2" s="14"/>
      <c r="W2" s="14"/>
      <c r="X2" s="14"/>
    </row>
    <row r="3" spans="2:24" ht="21" x14ac:dyDescent="0.4">
      <c r="B3" s="345"/>
      <c r="C3" s="246"/>
      <c r="D3" s="246"/>
      <c r="E3" s="246"/>
      <c r="F3" s="246"/>
      <c r="G3" s="246"/>
      <c r="H3" s="246"/>
      <c r="I3" s="246"/>
      <c r="J3" s="246"/>
      <c r="K3" s="338"/>
      <c r="Q3" s="14"/>
      <c r="R3" s="14"/>
      <c r="S3" s="14"/>
      <c r="T3" s="14"/>
      <c r="U3" s="14"/>
      <c r="V3" s="14"/>
      <c r="W3" s="14"/>
      <c r="X3" s="14"/>
    </row>
    <row r="4" spans="2:24" ht="63" customHeight="1" x14ac:dyDescent="0.3">
      <c r="B4" s="1064" t="s">
        <v>157</v>
      </c>
      <c r="C4" s="1065"/>
      <c r="D4" s="1065"/>
      <c r="E4" s="1065"/>
      <c r="F4" s="1065"/>
      <c r="G4" s="1065"/>
      <c r="H4" s="1065"/>
      <c r="I4" s="1065"/>
      <c r="J4" s="1065"/>
      <c r="K4" s="1066"/>
      <c r="Q4" s="14"/>
      <c r="R4" s="14"/>
      <c r="S4" s="14"/>
      <c r="T4" s="14"/>
      <c r="U4" s="14"/>
      <c r="V4" s="14"/>
      <c r="W4" s="14"/>
      <c r="X4" s="14"/>
    </row>
    <row r="5" spans="2:24" ht="43.95" customHeight="1" x14ac:dyDescent="0.4">
      <c r="B5" s="337"/>
      <c r="C5" s="246"/>
      <c r="D5" s="246"/>
      <c r="E5" s="246"/>
      <c r="F5" s="246"/>
      <c r="G5" s="246"/>
      <c r="H5" s="246"/>
      <c r="I5" s="246"/>
      <c r="J5" s="246"/>
      <c r="K5" s="338"/>
      <c r="Q5" s="14"/>
      <c r="R5" s="14"/>
      <c r="S5" s="14"/>
      <c r="T5" s="14"/>
      <c r="U5" s="14"/>
      <c r="V5" s="14"/>
      <c r="W5" s="14"/>
      <c r="X5" s="14"/>
    </row>
    <row r="6" spans="2:24" ht="21" x14ac:dyDescent="0.4">
      <c r="B6" s="345" t="s">
        <v>158</v>
      </c>
      <c r="C6" s="246"/>
      <c r="D6" s="246"/>
      <c r="E6" s="246"/>
      <c r="F6" s="246"/>
      <c r="G6" s="249"/>
      <c r="H6" s="246"/>
      <c r="I6" s="246"/>
      <c r="J6" s="246"/>
      <c r="K6" s="338"/>
      <c r="Q6" s="14"/>
      <c r="R6" s="14"/>
      <c r="S6" s="14"/>
      <c r="T6" s="14"/>
      <c r="U6" s="14"/>
      <c r="V6" s="14"/>
      <c r="W6" s="14"/>
      <c r="X6" s="14"/>
    </row>
    <row r="7" spans="2:24" ht="17.399999999999999" x14ac:dyDescent="0.3">
      <c r="B7" s="339" t="s">
        <v>159</v>
      </c>
      <c r="C7" s="246"/>
      <c r="D7" s="246"/>
      <c r="E7" s="246"/>
      <c r="F7" s="249"/>
      <c r="G7" s="249"/>
      <c r="H7" s="246"/>
      <c r="I7" s="246"/>
      <c r="J7" s="246"/>
      <c r="K7" s="338"/>
      <c r="Q7" s="14"/>
      <c r="R7" s="14"/>
      <c r="S7" s="14"/>
      <c r="T7" s="14"/>
      <c r="U7" s="14"/>
      <c r="V7" s="14"/>
      <c r="W7" s="14"/>
      <c r="X7" s="14"/>
    </row>
    <row r="8" spans="2:24" ht="17.399999999999999" x14ac:dyDescent="0.3">
      <c r="B8" s="339"/>
      <c r="C8" s="249" t="s">
        <v>160</v>
      </c>
      <c r="D8" s="246"/>
      <c r="E8" s="246"/>
      <c r="F8" s="249">
        <f>'Gårdens info'!D9</f>
        <v>10</v>
      </c>
      <c r="G8" s="249" t="s">
        <v>7</v>
      </c>
      <c r="H8" s="275">
        <f>Matpotatis!F9</f>
        <v>6510</v>
      </c>
      <c r="I8" s="249" t="s">
        <v>57</v>
      </c>
      <c r="J8" s="275">
        <f t="shared" ref="J8" si="0">F8*H8</f>
        <v>65100</v>
      </c>
      <c r="K8" s="340" t="s">
        <v>145</v>
      </c>
      <c r="Q8" s="14"/>
      <c r="R8" s="14"/>
      <c r="S8" s="14"/>
      <c r="T8" s="14"/>
      <c r="U8" s="14"/>
      <c r="V8" s="14"/>
      <c r="W8" s="14"/>
      <c r="X8" s="14"/>
    </row>
    <row r="9" spans="2:24" ht="17.399999999999999" x14ac:dyDescent="0.3">
      <c r="B9" s="339"/>
      <c r="C9" s="249" t="s">
        <v>161</v>
      </c>
      <c r="D9" s="246"/>
      <c r="E9" s="246"/>
      <c r="F9" s="249">
        <f>'Gårdens info'!D12</f>
        <v>10</v>
      </c>
      <c r="G9" s="249" t="s">
        <v>7</v>
      </c>
      <c r="H9" s="275">
        <f>Morot!F9</f>
        <v>42000</v>
      </c>
      <c r="I9" s="249" t="s">
        <v>57</v>
      </c>
      <c r="J9" s="275">
        <f t="shared" ref="J9:J13" si="1">F9*H9</f>
        <v>420000</v>
      </c>
      <c r="K9" s="340" t="s">
        <v>145</v>
      </c>
      <c r="Q9" s="14"/>
      <c r="R9" s="14"/>
      <c r="S9" s="14"/>
      <c r="T9" s="14"/>
      <c r="U9" s="14"/>
      <c r="V9" s="14"/>
      <c r="W9" s="14"/>
      <c r="X9" s="14"/>
    </row>
    <row r="10" spans="2:24" ht="17.399999999999999" x14ac:dyDescent="0.3">
      <c r="B10" s="339"/>
      <c r="C10" s="249" t="s">
        <v>162</v>
      </c>
      <c r="D10" s="246"/>
      <c r="E10" s="246"/>
      <c r="F10" s="249">
        <f>'Gårdens info'!D13</f>
        <v>10</v>
      </c>
      <c r="G10" s="249" t="s">
        <v>7</v>
      </c>
      <c r="H10" s="275">
        <f>Kål!F10</f>
        <v>37000</v>
      </c>
      <c r="I10" s="249" t="s">
        <v>57</v>
      </c>
      <c r="J10" s="275">
        <f t="shared" si="1"/>
        <v>370000</v>
      </c>
      <c r="K10" s="340" t="s">
        <v>145</v>
      </c>
      <c r="Q10" s="14"/>
      <c r="R10" s="14"/>
      <c r="S10" s="14"/>
      <c r="T10" s="14"/>
      <c r="U10" s="14"/>
      <c r="V10" s="14"/>
      <c r="W10" s="14"/>
      <c r="X10" s="14"/>
    </row>
    <row r="11" spans="2:24" ht="17.399999999999999" x14ac:dyDescent="0.3">
      <c r="B11" s="339"/>
      <c r="C11" s="249" t="s">
        <v>163</v>
      </c>
      <c r="D11" s="246"/>
      <c r="E11" s="246"/>
      <c r="F11" s="249">
        <f>'Gårdens info'!D14</f>
        <v>2</v>
      </c>
      <c r="G11" s="249" t="s">
        <v>7</v>
      </c>
      <c r="H11" s="275">
        <f>Lök!F9</f>
        <v>29200</v>
      </c>
      <c r="I11" s="249" t="s">
        <v>57</v>
      </c>
      <c r="J11" s="275">
        <f t="shared" si="1"/>
        <v>58400</v>
      </c>
      <c r="K11" s="340" t="s">
        <v>145</v>
      </c>
      <c r="Q11" s="14"/>
      <c r="R11" s="14"/>
      <c r="S11" s="14"/>
      <c r="T11" s="14"/>
      <c r="U11" s="14"/>
      <c r="V11" s="14"/>
      <c r="W11" s="14"/>
      <c r="X11" s="14"/>
    </row>
    <row r="12" spans="2:24" ht="17.399999999999999" x14ac:dyDescent="0.3">
      <c r="B12" s="339"/>
      <c r="C12" s="249" t="s">
        <v>164</v>
      </c>
      <c r="D12" s="246"/>
      <c r="E12" s="246"/>
      <c r="F12" s="249">
        <f>'Gårdens info'!D15</f>
        <v>5</v>
      </c>
      <c r="G12" s="249" t="s">
        <v>7</v>
      </c>
      <c r="H12" s="275">
        <f>Sättlök!F9</f>
        <v>25550</v>
      </c>
      <c r="I12" s="249" t="s">
        <v>57</v>
      </c>
      <c r="J12" s="275">
        <f>Sättlök!J9</f>
        <v>127750</v>
      </c>
      <c r="K12" s="340" t="s">
        <v>145</v>
      </c>
      <c r="Q12" s="14"/>
      <c r="R12" s="14"/>
      <c r="S12" s="14"/>
      <c r="T12" s="14"/>
      <c r="U12" s="14"/>
      <c r="V12" s="14"/>
      <c r="W12" s="14"/>
      <c r="X12" s="14"/>
    </row>
    <row r="13" spans="2:24" ht="17.399999999999999" x14ac:dyDescent="0.3">
      <c r="B13" s="339"/>
      <c r="C13" s="249" t="s">
        <v>165</v>
      </c>
      <c r="D13" s="246"/>
      <c r="E13" s="246"/>
      <c r="F13" s="249">
        <f>'Gårdens info'!D16</f>
        <v>2</v>
      </c>
      <c r="G13" s="249" t="s">
        <v>7</v>
      </c>
      <c r="H13" s="275">
        <f>Trädgårdsärt!F9</f>
        <v>15200</v>
      </c>
      <c r="I13" s="249" t="s">
        <v>57</v>
      </c>
      <c r="J13" s="275">
        <f t="shared" si="1"/>
        <v>30400</v>
      </c>
      <c r="K13" s="340" t="s">
        <v>145</v>
      </c>
      <c r="Q13" s="14"/>
      <c r="R13" s="14"/>
      <c r="S13" s="14"/>
      <c r="T13" s="14"/>
      <c r="U13" s="14"/>
      <c r="V13" s="14"/>
      <c r="W13" s="14"/>
      <c r="X13" s="14"/>
    </row>
    <row r="14" spans="2:24" ht="17.399999999999999" x14ac:dyDescent="0.3">
      <c r="B14" s="339"/>
      <c r="C14" s="249" t="s">
        <v>166</v>
      </c>
      <c r="D14" s="246"/>
      <c r="E14" s="246"/>
      <c r="F14" s="249">
        <f>'Gårdens info'!D17</f>
        <v>0</v>
      </c>
      <c r="G14" s="249" t="s">
        <v>7</v>
      </c>
      <c r="H14" s="275">
        <f>'Grönsak från frö 1'!F9</f>
        <v>0</v>
      </c>
      <c r="I14" s="249" t="s">
        <v>57</v>
      </c>
      <c r="J14" s="275">
        <f t="shared" ref="J14:J18" si="2">F14*H14</f>
        <v>0</v>
      </c>
      <c r="K14" s="340" t="s">
        <v>145</v>
      </c>
      <c r="Q14" s="14"/>
      <c r="R14" s="14"/>
      <c r="S14" s="14"/>
      <c r="T14" s="14"/>
      <c r="U14" s="14"/>
      <c r="V14" s="14"/>
      <c r="W14" s="14"/>
      <c r="X14" s="14"/>
    </row>
    <row r="15" spans="2:24" ht="17.399999999999999" x14ac:dyDescent="0.3">
      <c r="B15" s="339"/>
      <c r="C15" s="249" t="s">
        <v>167</v>
      </c>
      <c r="D15" s="246"/>
      <c r="E15" s="246"/>
      <c r="F15" s="249">
        <f>'Gårdens info'!D18</f>
        <v>0</v>
      </c>
      <c r="G15" s="249" t="s">
        <v>7</v>
      </c>
      <c r="H15" s="275">
        <f>'Grönsak från frö 2'!F9</f>
        <v>0</v>
      </c>
      <c r="I15" s="249" t="s">
        <v>57</v>
      </c>
      <c r="J15" s="275">
        <f t="shared" si="2"/>
        <v>0</v>
      </c>
      <c r="K15" s="340" t="s">
        <v>145</v>
      </c>
      <c r="Q15" s="14"/>
      <c r="R15" s="14"/>
      <c r="S15" s="14"/>
      <c r="T15" s="14"/>
      <c r="U15" s="14"/>
      <c r="V15" s="14"/>
      <c r="W15" s="14"/>
      <c r="X15" s="14"/>
    </row>
    <row r="16" spans="2:24" ht="17.399999999999999" x14ac:dyDescent="0.3">
      <c r="B16" s="339"/>
      <c r="C16" s="249" t="s">
        <v>168</v>
      </c>
      <c r="D16" s="246"/>
      <c r="E16" s="246"/>
      <c r="F16" s="249">
        <f>'Gårdens info'!D19</f>
        <v>0</v>
      </c>
      <c r="G16" s="249" t="s">
        <v>7</v>
      </c>
      <c r="H16" s="275">
        <f>'Grönsak planterad 1'!F9</f>
        <v>0</v>
      </c>
      <c r="I16" s="249" t="s">
        <v>57</v>
      </c>
      <c r="J16" s="275">
        <f t="shared" si="2"/>
        <v>0</v>
      </c>
      <c r="K16" s="340" t="s">
        <v>145</v>
      </c>
      <c r="Q16" s="14"/>
      <c r="R16" s="14"/>
      <c r="S16" s="14"/>
      <c r="T16" s="14"/>
      <c r="U16" s="14"/>
      <c r="V16" s="14"/>
      <c r="W16" s="14"/>
      <c r="X16" s="14"/>
    </row>
    <row r="17" spans="2:24" ht="17.399999999999999" x14ac:dyDescent="0.3">
      <c r="B17" s="339"/>
      <c r="C17" s="249" t="s">
        <v>169</v>
      </c>
      <c r="D17" s="246"/>
      <c r="E17" s="246"/>
      <c r="F17" s="249">
        <f>'Gårdens info'!D20</f>
        <v>0</v>
      </c>
      <c r="G17" s="249" t="s">
        <v>7</v>
      </c>
      <c r="H17" s="275">
        <f>'Grönsak planterad 2'!F9</f>
        <v>0</v>
      </c>
      <c r="I17" s="249" t="s">
        <v>57</v>
      </c>
      <c r="J17" s="275">
        <f t="shared" si="2"/>
        <v>0</v>
      </c>
      <c r="K17" s="340" t="s">
        <v>145</v>
      </c>
      <c r="Q17" s="14"/>
      <c r="R17" s="14"/>
      <c r="S17" s="14"/>
      <c r="T17" s="14"/>
      <c r="U17" s="14"/>
      <c r="V17" s="14"/>
      <c r="W17" s="14"/>
      <c r="X17" s="14"/>
    </row>
    <row r="18" spans="2:24" ht="17.399999999999999" x14ac:dyDescent="0.3">
      <c r="B18" s="339"/>
      <c r="C18" s="249" t="s">
        <v>170</v>
      </c>
      <c r="D18" s="246"/>
      <c r="E18" s="246"/>
      <c r="F18" s="249">
        <f>'Gårdens info'!D21</f>
        <v>0</v>
      </c>
      <c r="G18" s="249" t="s">
        <v>7</v>
      </c>
      <c r="H18" s="275">
        <f>'Grönsak planterad 3'!F9</f>
        <v>0</v>
      </c>
      <c r="I18" s="249" t="s">
        <v>57</v>
      </c>
      <c r="J18" s="275">
        <f t="shared" si="2"/>
        <v>0</v>
      </c>
      <c r="K18" s="340" t="s">
        <v>145</v>
      </c>
      <c r="Q18" s="14"/>
      <c r="R18" s="14"/>
      <c r="S18" s="14"/>
      <c r="T18" s="14"/>
      <c r="U18" s="14"/>
      <c r="V18" s="14"/>
      <c r="W18" s="14"/>
      <c r="X18" s="14"/>
    </row>
    <row r="19" spans="2:24" ht="17.399999999999999" x14ac:dyDescent="0.3">
      <c r="B19" s="339"/>
      <c r="C19" s="249" t="s">
        <v>171</v>
      </c>
      <c r="D19" s="246"/>
      <c r="E19" s="246"/>
      <c r="F19" s="249">
        <f>'Gårdens info'!D28</f>
        <v>3</v>
      </c>
      <c r="G19" s="249" t="s">
        <v>7</v>
      </c>
      <c r="H19" s="275">
        <f>IF(F19&gt;0,'Jordgubbe friland'!F9,0)</f>
        <v>21688.6</v>
      </c>
      <c r="I19" s="249" t="s">
        <v>57</v>
      </c>
      <c r="J19" s="275">
        <f t="shared" ref="J19:J31" si="3">F19*H19</f>
        <v>65065.799999999996</v>
      </c>
      <c r="K19" s="340" t="s">
        <v>145</v>
      </c>
      <c r="Q19" s="14"/>
      <c r="R19" s="14"/>
      <c r="S19" s="14"/>
      <c r="T19" s="14"/>
      <c r="U19" s="14"/>
      <c r="V19" s="14"/>
      <c r="W19" s="14"/>
      <c r="X19" s="14"/>
    </row>
    <row r="20" spans="2:24" ht="17.399999999999999" x14ac:dyDescent="0.3">
      <c r="B20" s="339"/>
      <c r="C20" s="249" t="s">
        <v>172</v>
      </c>
      <c r="D20" s="246"/>
      <c r="E20" s="246"/>
      <c r="F20" s="249">
        <f>'Gårdens info'!D29</f>
        <v>0</v>
      </c>
      <c r="G20" s="249" t="s">
        <v>7</v>
      </c>
      <c r="H20" s="275">
        <f>IF(F20&gt;0,'Jordgubbe tunnel'!F9,0)</f>
        <v>0</v>
      </c>
      <c r="I20" s="249" t="s">
        <v>57</v>
      </c>
      <c r="J20" s="275">
        <f t="shared" si="3"/>
        <v>0</v>
      </c>
      <c r="K20" s="340" t="s">
        <v>145</v>
      </c>
      <c r="Q20" s="14"/>
      <c r="R20" s="14"/>
      <c r="S20" s="14"/>
      <c r="T20" s="14"/>
      <c r="U20" s="14"/>
      <c r="V20" s="14"/>
      <c r="W20" s="14"/>
      <c r="X20" s="14"/>
    </row>
    <row r="21" spans="2:24" ht="17.399999999999999" x14ac:dyDescent="0.3">
      <c r="B21" s="339"/>
      <c r="C21" s="249" t="s">
        <v>173</v>
      </c>
      <c r="D21" s="246"/>
      <c r="E21" s="246"/>
      <c r="F21" s="249">
        <f>'Gårdens info'!D30</f>
        <v>0</v>
      </c>
      <c r="G21" s="249" t="s">
        <v>7</v>
      </c>
      <c r="H21" s="250">
        <f>IF(F21&gt;0,'Hallon friland'!F9,0)</f>
        <v>0</v>
      </c>
      <c r="I21" s="249" t="s">
        <v>57</v>
      </c>
      <c r="J21" s="275">
        <f t="shared" si="3"/>
        <v>0</v>
      </c>
      <c r="K21" s="340" t="s">
        <v>145</v>
      </c>
      <c r="Q21" s="14"/>
      <c r="R21" s="14"/>
      <c r="S21" s="14"/>
      <c r="T21" s="14"/>
      <c r="U21" s="14"/>
      <c r="V21" s="14"/>
      <c r="W21" s="14"/>
      <c r="X21" s="14"/>
    </row>
    <row r="22" spans="2:24" ht="17.399999999999999" x14ac:dyDescent="0.3">
      <c r="B22" s="339"/>
      <c r="C22" s="249" t="s">
        <v>174</v>
      </c>
      <c r="D22" s="246"/>
      <c r="E22" s="246"/>
      <c r="F22" s="249">
        <f>'Gårdens info'!D31</f>
        <v>0</v>
      </c>
      <c r="G22" s="249" t="s">
        <v>7</v>
      </c>
      <c r="H22" s="275">
        <f>IF(F22&gt;0,'Hallon tunnel'!F9,0)</f>
        <v>0</v>
      </c>
      <c r="I22" s="249" t="s">
        <v>57</v>
      </c>
      <c r="J22" s="275">
        <f t="shared" si="3"/>
        <v>0</v>
      </c>
      <c r="K22" s="340" t="s">
        <v>145</v>
      </c>
      <c r="Q22" s="14"/>
      <c r="R22" s="14"/>
      <c r="S22" s="14"/>
      <c r="T22" s="14"/>
      <c r="U22" s="14"/>
      <c r="V22" s="14"/>
      <c r="W22" s="14"/>
      <c r="X22" s="14"/>
    </row>
    <row r="23" spans="2:24" ht="17.399999999999999" x14ac:dyDescent="0.3">
      <c r="B23" s="339"/>
      <c r="C23" s="249" t="s">
        <v>175</v>
      </c>
      <c r="D23" s="246"/>
      <c r="E23" s="246"/>
      <c r="F23" s="249">
        <f>'Gårdens info'!D32</f>
        <v>0</v>
      </c>
      <c r="G23" s="249" t="s">
        <v>7</v>
      </c>
      <c r="H23" s="275">
        <f>IF(F23&gt;0,'Svarta vinbär'!F9,0)</f>
        <v>0</v>
      </c>
      <c r="I23" s="249" t="s">
        <v>57</v>
      </c>
      <c r="J23" s="275">
        <f t="shared" si="3"/>
        <v>0</v>
      </c>
      <c r="K23" s="340" t="s">
        <v>145</v>
      </c>
      <c r="Q23" s="14"/>
      <c r="R23" s="14"/>
      <c r="S23" s="14"/>
      <c r="T23" s="14"/>
      <c r="U23" s="14"/>
      <c r="V23" s="14"/>
      <c r="W23" s="14"/>
      <c r="X23" s="14"/>
    </row>
    <row r="24" spans="2:24" ht="17.399999999999999" x14ac:dyDescent="0.3">
      <c r="B24" s="339"/>
      <c r="C24" s="249" t="s">
        <v>176</v>
      </c>
      <c r="D24" s="246"/>
      <c r="E24" s="246"/>
      <c r="F24" s="249">
        <f>'Gårdens info'!D33</f>
        <v>0</v>
      </c>
      <c r="G24" s="249" t="s">
        <v>7</v>
      </c>
      <c r="H24" s="275">
        <f>IF(F24&gt;0,Buskblåbär!F9,0)</f>
        <v>0</v>
      </c>
      <c r="I24" s="249" t="s">
        <v>57</v>
      </c>
      <c r="J24" s="275">
        <f t="shared" si="3"/>
        <v>0</v>
      </c>
      <c r="K24" s="340" t="s">
        <v>145</v>
      </c>
      <c r="Q24" s="14"/>
      <c r="R24" s="14"/>
      <c r="S24" s="14"/>
      <c r="T24" s="14"/>
      <c r="U24" s="14"/>
      <c r="V24" s="14"/>
      <c r="W24" s="14"/>
      <c r="X24" s="14"/>
    </row>
    <row r="25" spans="2:24" ht="17.399999999999999" x14ac:dyDescent="0.3">
      <c r="B25" s="339"/>
      <c r="C25" s="249" t="s">
        <v>177</v>
      </c>
      <c r="D25" s="246"/>
      <c r="E25" s="246"/>
      <c r="F25" s="249">
        <f>'Gårdens info'!D34</f>
        <v>5</v>
      </c>
      <c r="G25" s="249" t="s">
        <v>7</v>
      </c>
      <c r="H25" s="275">
        <f>IF(F25&gt;0,Äpple!F9,0)</f>
        <v>23233.333333333332</v>
      </c>
      <c r="I25" s="249" t="s">
        <v>57</v>
      </c>
      <c r="J25" s="275">
        <f t="shared" si="3"/>
        <v>116166.66666666666</v>
      </c>
      <c r="K25" s="340" t="s">
        <v>145</v>
      </c>
      <c r="Q25" s="14"/>
      <c r="R25" s="14"/>
      <c r="S25" s="14"/>
      <c r="T25" s="14"/>
      <c r="U25" s="14"/>
      <c r="V25" s="14"/>
      <c r="W25" s="14"/>
      <c r="X25" s="14"/>
    </row>
    <row r="26" spans="2:24" ht="17.399999999999999" x14ac:dyDescent="0.3">
      <c r="B26" s="339"/>
      <c r="C26" s="249" t="s">
        <v>178</v>
      </c>
      <c r="D26" s="246"/>
      <c r="E26" s="246"/>
      <c r="F26" s="249">
        <f>'Gårdens info'!D37</f>
        <v>0</v>
      </c>
      <c r="G26" s="249" t="s">
        <v>7</v>
      </c>
      <c r="H26" s="275">
        <f>IF(F26&gt;0,Havre!F9,0)</f>
        <v>0</v>
      </c>
      <c r="I26" s="249" t="s">
        <v>57</v>
      </c>
      <c r="J26" s="275">
        <f>F26*H26</f>
        <v>0</v>
      </c>
      <c r="K26" s="340" t="s">
        <v>145</v>
      </c>
    </row>
    <row r="27" spans="2:24" ht="17.399999999999999" x14ac:dyDescent="0.3">
      <c r="B27" s="339"/>
      <c r="C27" s="249" t="s">
        <v>179</v>
      </c>
      <c r="D27" s="246"/>
      <c r="E27" s="246"/>
      <c r="F27" s="249">
        <f>'Gårdens info'!D38</f>
        <v>0</v>
      </c>
      <c r="G27" s="249" t="s">
        <v>7</v>
      </c>
      <c r="H27" s="275">
        <f>IF(F27&gt;0,Korn!F9,0)</f>
        <v>0</v>
      </c>
      <c r="I27" s="249" t="s">
        <v>57</v>
      </c>
      <c r="J27" s="275">
        <f t="shared" ref="J27:J30" si="4">F27*H27</f>
        <v>0</v>
      </c>
      <c r="K27" s="340" t="s">
        <v>145</v>
      </c>
    </row>
    <row r="28" spans="2:24" ht="17.399999999999999" x14ac:dyDescent="0.3">
      <c r="B28" s="339"/>
      <c r="C28" s="249" t="s">
        <v>180</v>
      </c>
      <c r="D28" s="246"/>
      <c r="E28" s="246"/>
      <c r="F28" s="249">
        <f>'Gårdens info'!D39</f>
        <v>0</v>
      </c>
      <c r="G28" s="249" t="s">
        <v>7</v>
      </c>
      <c r="H28" s="275">
        <f>IF(F28&gt;0,Vete!F9,0)</f>
        <v>0</v>
      </c>
      <c r="I28" s="249" t="s">
        <v>57</v>
      </c>
      <c r="J28" s="275">
        <f t="shared" si="4"/>
        <v>0</v>
      </c>
      <c r="K28" s="340" t="s">
        <v>145</v>
      </c>
    </row>
    <row r="29" spans="2:24" ht="17.399999999999999" x14ac:dyDescent="0.3">
      <c r="B29" s="339"/>
      <c r="C29" s="249" t="s">
        <v>181</v>
      </c>
      <c r="D29" s="246"/>
      <c r="E29" s="246"/>
      <c r="F29" s="249">
        <f>'Gårdens info'!D40</f>
        <v>0</v>
      </c>
      <c r="G29" s="249" t="s">
        <v>7</v>
      </c>
      <c r="H29" s="275">
        <f>Höstråg!F9</f>
        <v>0</v>
      </c>
      <c r="I29" s="249" t="s">
        <v>57</v>
      </c>
      <c r="J29" s="275">
        <f t="shared" ref="J29" si="5">F29*H29</f>
        <v>0</v>
      </c>
      <c r="K29" s="340" t="s">
        <v>145</v>
      </c>
    </row>
    <row r="30" spans="2:24" ht="17.399999999999999" x14ac:dyDescent="0.3">
      <c r="B30" s="339"/>
      <c r="C30" s="249" t="s">
        <v>182</v>
      </c>
      <c r="D30" s="246"/>
      <c r="E30" s="246"/>
      <c r="F30" s="249">
        <f>'Gårdens info'!D41</f>
        <v>0</v>
      </c>
      <c r="G30" s="249" t="s">
        <v>7</v>
      </c>
      <c r="H30" s="275">
        <f>IF(F30&gt;0,Naturvårdsåker!F9,0)</f>
        <v>0</v>
      </c>
      <c r="I30" s="249" t="s">
        <v>57</v>
      </c>
      <c r="J30" s="275">
        <f t="shared" si="4"/>
        <v>0</v>
      </c>
      <c r="K30" s="340" t="s">
        <v>145</v>
      </c>
    </row>
    <row r="31" spans="2:24" ht="17.399999999999999" x14ac:dyDescent="0.3">
      <c r="B31" s="339"/>
      <c r="C31" s="249" t="s">
        <v>183</v>
      </c>
      <c r="D31" s="246"/>
      <c r="E31" s="246"/>
      <c r="F31" s="249">
        <f>'Gårdens info'!D42</f>
        <v>0</v>
      </c>
      <c r="G31" s="249" t="s">
        <v>7</v>
      </c>
      <c r="H31" s="275">
        <f>Vall!F9</f>
        <v>0</v>
      </c>
      <c r="I31" s="249" t="s">
        <v>57</v>
      </c>
      <c r="J31" s="275">
        <f t="shared" si="3"/>
        <v>0</v>
      </c>
      <c r="K31" s="340" t="s">
        <v>145</v>
      </c>
    </row>
    <row r="32" spans="2:24" s="5" customFormat="1" ht="18" x14ac:dyDescent="0.35">
      <c r="B32" s="341"/>
      <c r="C32" s="283" t="s">
        <v>54</v>
      </c>
      <c r="D32" s="282"/>
      <c r="E32" s="282"/>
      <c r="F32" s="283">
        <f>SUM(F19:F31)</f>
        <v>8</v>
      </c>
      <c r="G32" s="283" t="s">
        <v>7</v>
      </c>
      <c r="H32" s="342"/>
      <c r="I32" s="283"/>
      <c r="J32" s="342">
        <f>SUM(J8:J31)</f>
        <v>1252882.4666666668</v>
      </c>
      <c r="K32" s="340" t="s">
        <v>145</v>
      </c>
    </row>
    <row r="33" spans="2:11" ht="17.399999999999999" x14ac:dyDescent="0.3">
      <c r="B33" s="339"/>
      <c r="C33" s="249"/>
      <c r="D33" s="246"/>
      <c r="E33" s="246"/>
      <c r="F33" s="249"/>
      <c r="G33" s="249"/>
      <c r="H33" s="249"/>
      <c r="I33" s="249"/>
      <c r="J33" s="249"/>
      <c r="K33" s="340"/>
    </row>
    <row r="34" spans="2:11" s="56" customFormat="1" ht="17.399999999999999" x14ac:dyDescent="0.3">
      <c r="B34" s="339" t="s">
        <v>59</v>
      </c>
      <c r="C34" s="354" t="s">
        <v>184</v>
      </c>
      <c r="D34" s="249"/>
      <c r="E34" s="249"/>
      <c r="F34" s="249">
        <f>'Gårdens info'!D43</f>
        <v>47</v>
      </c>
      <c r="G34" s="249" t="s">
        <v>7</v>
      </c>
      <c r="H34" s="250">
        <f>J34/F34</f>
        <v>772.8127659574468</v>
      </c>
      <c r="I34" s="249" t="s">
        <v>57</v>
      </c>
      <c r="J34" s="275">
        <f>Matpotatis!J10+Morot!J10+Kål!J11+Lök!J10+Trädgårdsärt!J10+'Grönsak från frö 1'!J10+'Grönsak från frö 2'!J10+'Grönsak planterad 1'!J10+'Grönsak planterad 2'!J10+'Grönsak planterad 3'!J10+'Jordgubbe friland'!J10+'Hallon friland'!J10+'Svarta vinbär'!J10+Buskblåbär!J10+Äpple!J10+Havre!J10+Korn!J10+Vete!J10+Höstråg!J10+Naturvårdsåker!J10+Vall!J10</f>
        <v>36322.199999999997</v>
      </c>
      <c r="K34" s="340" t="s">
        <v>145</v>
      </c>
    </row>
    <row r="35" spans="2:11" x14ac:dyDescent="0.25">
      <c r="B35" s="343"/>
      <c r="C35" s="246"/>
      <c r="D35" s="246"/>
      <c r="E35" s="246"/>
      <c r="F35" s="246"/>
      <c r="G35" s="246"/>
      <c r="H35" s="246"/>
      <c r="I35" s="246"/>
      <c r="J35" s="246"/>
      <c r="K35" s="338"/>
    </row>
    <row r="36" spans="2:11" s="301" customFormat="1" ht="21" customHeight="1" x14ac:dyDescent="0.4">
      <c r="B36" s="1061" t="s">
        <v>185</v>
      </c>
      <c r="C36" s="1043"/>
      <c r="D36" s="1043"/>
      <c r="E36" s="1043"/>
      <c r="F36" s="1043"/>
      <c r="G36" s="346"/>
      <c r="H36" s="346"/>
      <c r="I36" s="346"/>
      <c r="J36" s="347">
        <f>J34+J32</f>
        <v>1289204.6666666667</v>
      </c>
      <c r="K36" s="348" t="s">
        <v>145</v>
      </c>
    </row>
    <row r="37" spans="2:11" ht="34.200000000000003" customHeight="1" x14ac:dyDescent="0.25">
      <c r="B37" s="343"/>
      <c r="C37" s="246"/>
      <c r="D37" s="246"/>
      <c r="E37" s="246"/>
      <c r="F37" s="246"/>
      <c r="G37" s="246"/>
      <c r="H37" s="246"/>
      <c r="I37" s="246"/>
      <c r="J37" s="246"/>
      <c r="K37" s="338"/>
    </row>
    <row r="38" spans="2:11" ht="21" x14ac:dyDescent="0.4">
      <c r="B38" s="257" t="s">
        <v>186</v>
      </c>
      <c r="C38" s="246"/>
      <c r="D38" s="246"/>
      <c r="E38" s="246"/>
      <c r="F38" s="249"/>
      <c r="G38" s="246"/>
      <c r="H38" s="246"/>
      <c r="I38" s="246"/>
      <c r="J38" s="246"/>
      <c r="K38" s="338"/>
    </row>
    <row r="39" spans="2:11" ht="21" x14ac:dyDescent="0.4">
      <c r="B39" s="257"/>
      <c r="C39" s="249" t="s">
        <v>160</v>
      </c>
      <c r="D39" s="246"/>
      <c r="E39" s="246"/>
      <c r="F39" s="249">
        <f>'Gårdens info'!D9</f>
        <v>10</v>
      </c>
      <c r="G39" s="249" t="s">
        <v>7</v>
      </c>
      <c r="H39" s="275">
        <f>Matpotatis!F28</f>
        <v>3409.121914893617</v>
      </c>
      <c r="I39" s="249" t="s">
        <v>57</v>
      </c>
      <c r="J39" s="275">
        <f t="shared" ref="J39" si="6">F39*H39</f>
        <v>34091.219148936172</v>
      </c>
      <c r="K39" s="340" t="s">
        <v>145</v>
      </c>
    </row>
    <row r="40" spans="2:11" ht="21" x14ac:dyDescent="0.4">
      <c r="B40" s="257"/>
      <c r="C40" s="249" t="s">
        <v>161</v>
      </c>
      <c r="D40" s="246"/>
      <c r="E40" s="246"/>
      <c r="F40" s="249">
        <f>'Gårdens info'!D12</f>
        <v>10</v>
      </c>
      <c r="G40" s="249" t="s">
        <v>7</v>
      </c>
      <c r="H40" s="275">
        <f>Morot!F28</f>
        <v>5307.7219148936174</v>
      </c>
      <c r="I40" s="249" t="s">
        <v>57</v>
      </c>
      <c r="J40" s="275">
        <f t="shared" ref="J40:J42" si="7">F40*H40</f>
        <v>53077.219148936172</v>
      </c>
      <c r="K40" s="340" t="s">
        <v>145</v>
      </c>
    </row>
    <row r="41" spans="2:11" ht="21" x14ac:dyDescent="0.4">
      <c r="B41" s="257"/>
      <c r="C41" s="249" t="s">
        <v>187</v>
      </c>
      <c r="D41" s="246"/>
      <c r="E41" s="246"/>
      <c r="F41" s="249">
        <f>'Gårdens info'!D13</f>
        <v>10</v>
      </c>
      <c r="G41" s="249" t="s">
        <v>7</v>
      </c>
      <c r="H41" s="275">
        <f>Kål!F29</f>
        <v>8435.2052482269501</v>
      </c>
      <c r="I41" s="249" t="s">
        <v>57</v>
      </c>
      <c r="J41" s="275">
        <f t="shared" si="7"/>
        <v>84352.052482269501</v>
      </c>
      <c r="K41" s="340" t="s">
        <v>145</v>
      </c>
    </row>
    <row r="42" spans="2:11" ht="21" x14ac:dyDescent="0.4">
      <c r="B42" s="257"/>
      <c r="C42" s="249" t="s">
        <v>163</v>
      </c>
      <c r="D42" s="246"/>
      <c r="E42" s="246"/>
      <c r="F42" s="249">
        <f>'Gårdens info'!D14</f>
        <v>2</v>
      </c>
      <c r="G42" s="249" t="s">
        <v>7</v>
      </c>
      <c r="H42" s="275">
        <f>Lök!F28</f>
        <v>8935.9254148936161</v>
      </c>
      <c r="I42" s="249" t="s">
        <v>57</v>
      </c>
      <c r="J42" s="275">
        <f t="shared" si="7"/>
        <v>17871.850829787232</v>
      </c>
      <c r="K42" s="340" t="s">
        <v>145</v>
      </c>
    </row>
    <row r="43" spans="2:11" ht="21" x14ac:dyDescent="0.4">
      <c r="B43" s="257"/>
      <c r="C43" s="249" t="s">
        <v>164</v>
      </c>
      <c r="D43" s="246"/>
      <c r="E43" s="246"/>
      <c r="F43" s="249">
        <f>'Gårdens info'!D15</f>
        <v>5</v>
      </c>
      <c r="G43" s="249" t="s">
        <v>7</v>
      </c>
      <c r="H43" s="275">
        <f>Sättlök!F28</f>
        <v>10027.691914893616</v>
      </c>
      <c r="I43" s="249" t="s">
        <v>57</v>
      </c>
      <c r="J43" s="275">
        <f>Sättlök!J28</f>
        <v>50138.459574468092</v>
      </c>
      <c r="K43" s="340" t="s">
        <v>145</v>
      </c>
    </row>
    <row r="44" spans="2:11" ht="21" x14ac:dyDescent="0.4">
      <c r="B44" s="257"/>
      <c r="C44" s="249" t="s">
        <v>188</v>
      </c>
      <c r="D44" s="246"/>
      <c r="E44" s="246"/>
      <c r="F44" s="249">
        <f>'Gårdens info'!D16</f>
        <v>2</v>
      </c>
      <c r="G44" s="249" t="s">
        <v>7</v>
      </c>
      <c r="H44" s="275">
        <f>Trädgårdsärt!F28</f>
        <v>8608.1119148936159</v>
      </c>
      <c r="I44" s="249" t="s">
        <v>57</v>
      </c>
      <c r="J44" s="275">
        <f t="shared" ref="J44" si="8">F44*H44</f>
        <v>17216.223829787232</v>
      </c>
      <c r="K44" s="340" t="s">
        <v>145</v>
      </c>
    </row>
    <row r="45" spans="2:11" ht="21" x14ac:dyDescent="0.4">
      <c r="B45" s="257"/>
      <c r="C45" s="249" t="s">
        <v>166</v>
      </c>
      <c r="D45" s="246"/>
      <c r="E45" s="246"/>
      <c r="F45" s="249">
        <f>'Gårdens info'!D17</f>
        <v>0</v>
      </c>
      <c r="G45" s="249" t="s">
        <v>7</v>
      </c>
      <c r="H45" s="275">
        <f>'Grönsak från frö 1'!F24</f>
        <v>0</v>
      </c>
      <c r="I45" s="249" t="s">
        <v>57</v>
      </c>
      <c r="J45" s="275">
        <f t="shared" ref="J45:J49" si="9">F45*H45</f>
        <v>0</v>
      </c>
      <c r="K45" s="340" t="s">
        <v>145</v>
      </c>
    </row>
    <row r="46" spans="2:11" ht="21" x14ac:dyDescent="0.4">
      <c r="B46" s="257"/>
      <c r="C46" s="249" t="s">
        <v>167</v>
      </c>
      <c r="D46" s="246"/>
      <c r="E46" s="246"/>
      <c r="F46" s="249">
        <f>'Gårdens info'!D18</f>
        <v>0</v>
      </c>
      <c r="G46" s="249" t="s">
        <v>7</v>
      </c>
      <c r="H46" s="275">
        <f>'Grönsak från frö 2'!F24</f>
        <v>0</v>
      </c>
      <c r="I46" s="249" t="s">
        <v>57</v>
      </c>
      <c r="J46" s="275">
        <f t="shared" si="9"/>
        <v>0</v>
      </c>
      <c r="K46" s="340" t="s">
        <v>145</v>
      </c>
    </row>
    <row r="47" spans="2:11" ht="21" x14ac:dyDescent="0.4">
      <c r="B47" s="257"/>
      <c r="C47" s="249" t="s">
        <v>168</v>
      </c>
      <c r="D47" s="246"/>
      <c r="E47" s="246"/>
      <c r="F47" s="249">
        <f>'Gårdens info'!D19</f>
        <v>0</v>
      </c>
      <c r="G47" s="249" t="s">
        <v>7</v>
      </c>
      <c r="H47" s="275">
        <f>'Grönsak planterad 1'!F24</f>
        <v>0</v>
      </c>
      <c r="I47" s="249" t="s">
        <v>57</v>
      </c>
      <c r="J47" s="275">
        <f t="shared" si="9"/>
        <v>0</v>
      </c>
      <c r="K47" s="340" t="s">
        <v>145</v>
      </c>
    </row>
    <row r="48" spans="2:11" ht="21" x14ac:dyDescent="0.4">
      <c r="B48" s="257"/>
      <c r="C48" s="249" t="s">
        <v>169</v>
      </c>
      <c r="D48" s="246"/>
      <c r="E48" s="246"/>
      <c r="F48" s="249">
        <f>'Gårdens info'!D20</f>
        <v>0</v>
      </c>
      <c r="G48" s="249" t="s">
        <v>7</v>
      </c>
      <c r="H48" s="275">
        <f>'Grönsak planterad 2'!F24</f>
        <v>0</v>
      </c>
      <c r="I48" s="249" t="s">
        <v>57</v>
      </c>
      <c r="J48" s="275">
        <f t="shared" si="9"/>
        <v>0</v>
      </c>
      <c r="K48" s="340" t="s">
        <v>145</v>
      </c>
    </row>
    <row r="49" spans="2:11" ht="21" x14ac:dyDescent="0.4">
      <c r="B49" s="257"/>
      <c r="C49" s="249" t="s">
        <v>170</v>
      </c>
      <c r="D49" s="246"/>
      <c r="E49" s="246"/>
      <c r="F49" s="249">
        <f>'Gårdens info'!D21</f>
        <v>0</v>
      </c>
      <c r="G49" s="249" t="s">
        <v>7</v>
      </c>
      <c r="H49" s="275">
        <f>'Grönsak planterad 3'!F24</f>
        <v>0</v>
      </c>
      <c r="I49" s="249" t="s">
        <v>57</v>
      </c>
      <c r="J49" s="275">
        <f t="shared" si="9"/>
        <v>0</v>
      </c>
      <c r="K49" s="340" t="s">
        <v>145</v>
      </c>
    </row>
    <row r="50" spans="2:11" ht="17.399999999999999" x14ac:dyDescent="0.3">
      <c r="B50" s="343"/>
      <c r="C50" s="249" t="s">
        <v>171</v>
      </c>
      <c r="D50" s="246"/>
      <c r="E50" s="246"/>
      <c r="F50" s="249">
        <f>'Gårdens info'!D28</f>
        <v>3</v>
      </c>
      <c r="G50" s="249" t="s">
        <v>7</v>
      </c>
      <c r="H50" s="275">
        <f>IF(F50&gt;0,'Jordgubbe friland'!F57,0)</f>
        <v>14814.526581560285</v>
      </c>
      <c r="I50" s="249" t="s">
        <v>57</v>
      </c>
      <c r="J50" s="275">
        <f>F50*H50</f>
        <v>44443.579744680857</v>
      </c>
      <c r="K50" s="340" t="s">
        <v>145</v>
      </c>
    </row>
    <row r="51" spans="2:11" ht="17.399999999999999" x14ac:dyDescent="0.3">
      <c r="B51" s="343"/>
      <c r="C51" s="249" t="s">
        <v>172</v>
      </c>
      <c r="D51" s="246"/>
      <c r="E51" s="246"/>
      <c r="F51" s="249">
        <f>'Gårdens info'!D29</f>
        <v>0</v>
      </c>
      <c r="G51" s="249" t="s">
        <v>7</v>
      </c>
      <c r="H51" s="275">
        <f>'Jordgubbe tunnel'!F29</f>
        <v>0</v>
      </c>
      <c r="I51" s="249" t="s">
        <v>57</v>
      </c>
      <c r="J51" s="275">
        <f t="shared" ref="J51:J62" si="10">F51*H51</f>
        <v>0</v>
      </c>
      <c r="K51" s="340" t="s">
        <v>145</v>
      </c>
    </row>
    <row r="52" spans="2:11" ht="17.399999999999999" x14ac:dyDescent="0.3">
      <c r="B52" s="343"/>
      <c r="C52" s="249" t="s">
        <v>173</v>
      </c>
      <c r="D52" s="246"/>
      <c r="E52" s="246"/>
      <c r="F52" s="249">
        <f>'Gårdens info'!D30</f>
        <v>0</v>
      </c>
      <c r="G52" s="249" t="s">
        <v>7</v>
      </c>
      <c r="H52" s="275">
        <f>'Hallon friland'!F55</f>
        <v>0</v>
      </c>
      <c r="I52" s="249" t="s">
        <v>57</v>
      </c>
      <c r="J52" s="275">
        <f t="shared" si="10"/>
        <v>0</v>
      </c>
      <c r="K52" s="340" t="s">
        <v>145</v>
      </c>
    </row>
    <row r="53" spans="2:11" ht="17.399999999999999" x14ac:dyDescent="0.3">
      <c r="B53" s="343"/>
      <c r="C53" s="249" t="s">
        <v>174</v>
      </c>
      <c r="D53" s="246"/>
      <c r="E53" s="246"/>
      <c r="F53" s="249">
        <f>'Gårdens info'!D31</f>
        <v>0</v>
      </c>
      <c r="G53" s="249" t="s">
        <v>7</v>
      </c>
      <c r="H53" s="275">
        <f>'Hallon tunnel'!F28</f>
        <v>0</v>
      </c>
      <c r="I53" s="249" t="s">
        <v>57</v>
      </c>
      <c r="J53" s="275">
        <f t="shared" si="10"/>
        <v>0</v>
      </c>
      <c r="K53" s="340" t="s">
        <v>145</v>
      </c>
    </row>
    <row r="54" spans="2:11" ht="17.399999999999999" x14ac:dyDescent="0.3">
      <c r="B54" s="343"/>
      <c r="C54" s="249" t="s">
        <v>175</v>
      </c>
      <c r="D54" s="246"/>
      <c r="E54" s="246"/>
      <c r="F54" s="249">
        <f>'Gårdens info'!D32</f>
        <v>0</v>
      </c>
      <c r="G54" s="249" t="s">
        <v>7</v>
      </c>
      <c r="H54" s="275">
        <f>IF(F54&gt;0,'Svarta vinbär'!F52,0)</f>
        <v>0</v>
      </c>
      <c r="I54" s="249" t="s">
        <v>57</v>
      </c>
      <c r="J54" s="275">
        <f t="shared" si="10"/>
        <v>0</v>
      </c>
      <c r="K54" s="340" t="s">
        <v>145</v>
      </c>
    </row>
    <row r="55" spans="2:11" ht="17.399999999999999" x14ac:dyDescent="0.3">
      <c r="B55" s="343"/>
      <c r="C55" s="249" t="s">
        <v>176</v>
      </c>
      <c r="D55" s="246"/>
      <c r="E55" s="246"/>
      <c r="F55" s="249">
        <f>'Gårdens info'!D33</f>
        <v>0</v>
      </c>
      <c r="G55" s="249" t="s">
        <v>7</v>
      </c>
      <c r="H55" s="275">
        <f>IF(F55&gt;0,Buskblåbär!F55,0)</f>
        <v>0</v>
      </c>
      <c r="I55" s="249" t="s">
        <v>57</v>
      </c>
      <c r="J55" s="275">
        <f t="shared" si="10"/>
        <v>0</v>
      </c>
      <c r="K55" s="340" t="s">
        <v>145</v>
      </c>
    </row>
    <row r="56" spans="2:11" ht="17.399999999999999" x14ac:dyDescent="0.3">
      <c r="B56" s="343"/>
      <c r="C56" s="249" t="s">
        <v>177</v>
      </c>
      <c r="D56" s="246"/>
      <c r="E56" s="246"/>
      <c r="F56" s="249">
        <f>'Gårdens info'!D34</f>
        <v>5</v>
      </c>
      <c r="G56" s="249" t="s">
        <v>7</v>
      </c>
      <c r="H56" s="275">
        <f>Äpple!F55</f>
        <v>43357.785781560284</v>
      </c>
      <c r="I56" s="249" t="s">
        <v>57</v>
      </c>
      <c r="J56" s="275">
        <f t="shared" si="10"/>
        <v>216788.92890780143</v>
      </c>
      <c r="K56" s="340" t="s">
        <v>145</v>
      </c>
    </row>
    <row r="57" spans="2:11" ht="17.399999999999999" x14ac:dyDescent="0.3">
      <c r="B57" s="343"/>
      <c r="C57" s="249" t="s">
        <v>178</v>
      </c>
      <c r="D57" s="246"/>
      <c r="E57" s="246"/>
      <c r="F57" s="249">
        <f>'Gårdens info'!D37</f>
        <v>0</v>
      </c>
      <c r="G57" s="249" t="s">
        <v>7</v>
      </c>
      <c r="H57" s="275">
        <f>IF(F57&gt;0,Havre!F26,0)</f>
        <v>0</v>
      </c>
      <c r="I57" s="249" t="s">
        <v>57</v>
      </c>
      <c r="J57" s="275">
        <f t="shared" si="10"/>
        <v>0</v>
      </c>
      <c r="K57" s="340" t="s">
        <v>145</v>
      </c>
    </row>
    <row r="58" spans="2:11" ht="17.399999999999999" x14ac:dyDescent="0.3">
      <c r="B58" s="343"/>
      <c r="C58" s="249" t="s">
        <v>179</v>
      </c>
      <c r="D58" s="246"/>
      <c r="E58" s="246"/>
      <c r="F58" s="249">
        <f>'Gårdens info'!D38</f>
        <v>0</v>
      </c>
      <c r="G58" s="249" t="s">
        <v>7</v>
      </c>
      <c r="H58" s="275">
        <f>IF(F58&gt;0,Korn!F26,0)</f>
        <v>0</v>
      </c>
      <c r="I58" s="249" t="s">
        <v>57</v>
      </c>
      <c r="J58" s="275">
        <f t="shared" ref="J58:J59" si="11">F58*H58</f>
        <v>0</v>
      </c>
      <c r="K58" s="340" t="s">
        <v>145</v>
      </c>
    </row>
    <row r="59" spans="2:11" ht="17.399999999999999" x14ac:dyDescent="0.3">
      <c r="B59" s="343"/>
      <c r="C59" s="249" t="s">
        <v>180</v>
      </c>
      <c r="D59" s="246"/>
      <c r="E59" s="246"/>
      <c r="F59" s="249">
        <f>'Gårdens info'!D39</f>
        <v>0</v>
      </c>
      <c r="G59" s="249" t="s">
        <v>7</v>
      </c>
      <c r="H59" s="275">
        <f>IF(F59&gt;0,Vete!F26,0)</f>
        <v>0</v>
      </c>
      <c r="I59" s="249" t="s">
        <v>57</v>
      </c>
      <c r="J59" s="275">
        <f t="shared" si="11"/>
        <v>0</v>
      </c>
      <c r="K59" s="340" t="s">
        <v>145</v>
      </c>
    </row>
    <row r="60" spans="2:11" ht="17.399999999999999" x14ac:dyDescent="0.3">
      <c r="B60" s="343"/>
      <c r="C60" s="249" t="s">
        <v>181</v>
      </c>
      <c r="D60" s="246"/>
      <c r="E60" s="246"/>
      <c r="F60" s="249">
        <f>'Gårdens info'!D40</f>
        <v>0</v>
      </c>
      <c r="G60" s="249" t="s">
        <v>7</v>
      </c>
      <c r="H60" s="275">
        <f>Höstråg!F26</f>
        <v>0</v>
      </c>
      <c r="I60" s="249" t="s">
        <v>57</v>
      </c>
      <c r="J60" s="275">
        <f t="shared" ref="J60" si="12">F60*H60</f>
        <v>0</v>
      </c>
      <c r="K60" s="340" t="s">
        <v>145</v>
      </c>
    </row>
    <row r="61" spans="2:11" ht="17.399999999999999" x14ac:dyDescent="0.3">
      <c r="B61" s="343"/>
      <c r="C61" s="249" t="s">
        <v>182</v>
      </c>
      <c r="D61" s="246"/>
      <c r="E61" s="246"/>
      <c r="F61" s="249">
        <f>'Gårdens info'!D41</f>
        <v>0</v>
      </c>
      <c r="G61" s="249" t="s">
        <v>7</v>
      </c>
      <c r="H61" s="275">
        <f>IF(F61&gt;0,Naturvårdsåker!F22,0)</f>
        <v>0</v>
      </c>
      <c r="I61" s="249" t="s">
        <v>57</v>
      </c>
      <c r="J61" s="275">
        <f t="shared" si="10"/>
        <v>0</v>
      </c>
      <c r="K61" s="340" t="s">
        <v>145</v>
      </c>
    </row>
    <row r="62" spans="2:11" ht="17.399999999999999" x14ac:dyDescent="0.3">
      <c r="B62" s="343"/>
      <c r="C62" s="249" t="s">
        <v>183</v>
      </c>
      <c r="D62" s="246"/>
      <c r="E62" s="246"/>
      <c r="F62" s="249">
        <f>'Gårdens info'!D42</f>
        <v>0</v>
      </c>
      <c r="G62" s="249" t="s">
        <v>7</v>
      </c>
      <c r="H62" s="275">
        <f>Vall!F22</f>
        <v>0</v>
      </c>
      <c r="I62" s="249" t="s">
        <v>57</v>
      </c>
      <c r="J62" s="275">
        <f t="shared" si="10"/>
        <v>0</v>
      </c>
      <c r="K62" s="340" t="s">
        <v>145</v>
      </c>
    </row>
    <row r="63" spans="2:11" s="302" customFormat="1" ht="21" x14ac:dyDescent="0.4">
      <c r="B63" s="1061" t="s">
        <v>189</v>
      </c>
      <c r="C63" s="1043"/>
      <c r="D63" s="1043"/>
      <c r="E63" s="1043"/>
      <c r="F63" s="1043"/>
      <c r="G63" s="349"/>
      <c r="H63" s="349"/>
      <c r="I63" s="349"/>
      <c r="J63" s="347">
        <f>SUM(J39:J62)</f>
        <v>517979.53366666671</v>
      </c>
      <c r="K63" s="348" t="s">
        <v>145</v>
      </c>
    </row>
    <row r="64" spans="2:11" ht="28.2" customHeight="1" x14ac:dyDescent="0.25">
      <c r="B64" s="343"/>
      <c r="C64" s="246"/>
      <c r="D64" s="246"/>
      <c r="E64" s="246"/>
      <c r="F64" s="246"/>
      <c r="G64" s="246"/>
      <c r="H64" s="246"/>
      <c r="I64" s="246"/>
      <c r="J64" s="246"/>
      <c r="K64" s="338"/>
    </row>
    <row r="65" spans="2:11" s="302" customFormat="1" ht="21" x14ac:dyDescent="0.4">
      <c r="B65" s="257" t="s">
        <v>190</v>
      </c>
      <c r="C65" s="349"/>
      <c r="D65" s="349"/>
      <c r="E65" s="349"/>
      <c r="F65" s="349"/>
      <c r="G65" s="349"/>
      <c r="H65" s="349"/>
      <c r="I65" s="349"/>
      <c r="J65" s="349"/>
      <c r="K65" s="350"/>
    </row>
    <row r="66" spans="2:11" s="302" customFormat="1" ht="21" x14ac:dyDescent="0.4">
      <c r="B66" s="257"/>
      <c r="C66" s="249" t="s">
        <v>160</v>
      </c>
      <c r="D66" s="246"/>
      <c r="E66" s="246"/>
      <c r="F66" s="249">
        <f t="shared" ref="F66:F89" si="13">F39</f>
        <v>10</v>
      </c>
      <c r="G66" s="249" t="s">
        <v>7</v>
      </c>
      <c r="H66" s="275">
        <f>Matpotatis!F57</f>
        <v>2383.7235815602835</v>
      </c>
      <c r="I66" s="249" t="s">
        <v>57</v>
      </c>
      <c r="J66" s="275">
        <f t="shared" ref="J66" si="14">F66*H66</f>
        <v>23837.235815602835</v>
      </c>
      <c r="K66" s="340" t="s">
        <v>145</v>
      </c>
    </row>
    <row r="67" spans="2:11" s="302" customFormat="1" ht="21" x14ac:dyDescent="0.4">
      <c r="B67" s="257"/>
      <c r="C67" s="249" t="s">
        <v>161</v>
      </c>
      <c r="D67" s="246"/>
      <c r="E67" s="246"/>
      <c r="F67" s="249">
        <f t="shared" si="13"/>
        <v>10</v>
      </c>
      <c r="G67" s="249" t="s">
        <v>7</v>
      </c>
      <c r="H67" s="275">
        <f>Morot!F57</f>
        <v>2286.8951581368606</v>
      </c>
      <c r="I67" s="249" t="s">
        <v>57</v>
      </c>
      <c r="J67" s="275">
        <f t="shared" ref="J67:J69" si="15">F67*H67</f>
        <v>22868.951581368605</v>
      </c>
      <c r="K67" s="340" t="s">
        <v>145</v>
      </c>
    </row>
    <row r="68" spans="2:11" s="302" customFormat="1" ht="21" x14ac:dyDescent="0.4">
      <c r="B68" s="257"/>
      <c r="C68" s="249" t="s">
        <v>162</v>
      </c>
      <c r="D68" s="246"/>
      <c r="E68" s="246"/>
      <c r="F68" s="249">
        <f t="shared" si="13"/>
        <v>10</v>
      </c>
      <c r="G68" s="249" t="s">
        <v>7</v>
      </c>
      <c r="H68" s="275">
        <f>Kål!F58</f>
        <v>1421.2284914701936</v>
      </c>
      <c r="I68" s="249" t="s">
        <v>57</v>
      </c>
      <c r="J68" s="275">
        <f t="shared" si="15"/>
        <v>14212.284914701937</v>
      </c>
      <c r="K68" s="340" t="s">
        <v>145</v>
      </c>
    </row>
    <row r="69" spans="2:11" s="302" customFormat="1" ht="21" x14ac:dyDescent="0.4">
      <c r="B69" s="257"/>
      <c r="C69" s="249" t="s">
        <v>163</v>
      </c>
      <c r="D69" s="246"/>
      <c r="E69" s="246"/>
      <c r="F69" s="249">
        <f t="shared" si="13"/>
        <v>2</v>
      </c>
      <c r="G69" s="249" t="s">
        <v>7</v>
      </c>
      <c r="H69" s="275">
        <f>Lök!F57</f>
        <v>3985.5753383170404</v>
      </c>
      <c r="I69" s="249" t="s">
        <v>57</v>
      </c>
      <c r="J69" s="275">
        <f t="shared" si="15"/>
        <v>7971.1506766340808</v>
      </c>
      <c r="K69" s="340" t="s">
        <v>145</v>
      </c>
    </row>
    <row r="70" spans="2:11" s="302" customFormat="1" ht="21" x14ac:dyDescent="0.4">
      <c r="B70" s="257"/>
      <c r="C70" s="249" t="s">
        <v>164</v>
      </c>
      <c r="D70" s="246"/>
      <c r="E70" s="246"/>
      <c r="F70" s="249">
        <f t="shared" si="13"/>
        <v>5</v>
      </c>
      <c r="G70" s="249" t="s">
        <v>7</v>
      </c>
      <c r="H70" s="275">
        <f>Sättlök!F57</f>
        <v>1594.230135326816</v>
      </c>
      <c r="I70" s="249" t="s">
        <v>57</v>
      </c>
      <c r="J70" s="275">
        <f>Sättlök!J57</f>
        <v>7971.1506766340808</v>
      </c>
      <c r="K70" s="340" t="s">
        <v>145</v>
      </c>
    </row>
    <row r="71" spans="2:11" s="302" customFormat="1" ht="21" x14ac:dyDescent="0.4">
      <c r="B71" s="257"/>
      <c r="C71" s="249" t="s">
        <v>165</v>
      </c>
      <c r="D71" s="246"/>
      <c r="E71" s="246"/>
      <c r="F71" s="249">
        <f t="shared" si="13"/>
        <v>2</v>
      </c>
      <c r="G71" s="249" t="s">
        <v>7</v>
      </c>
      <c r="H71" s="275">
        <f>Trädgårdsärt!F57</f>
        <v>4213.5032833835085</v>
      </c>
      <c r="I71" s="249" t="s">
        <v>57</v>
      </c>
      <c r="J71" s="275">
        <f t="shared" ref="J71" si="16">F71*H71</f>
        <v>8427.0065667670169</v>
      </c>
      <c r="K71" s="340" t="s">
        <v>145</v>
      </c>
    </row>
    <row r="72" spans="2:11" s="302" customFormat="1" ht="21" x14ac:dyDescent="0.4">
      <c r="B72" s="257"/>
      <c r="C72" s="249" t="s">
        <v>166</v>
      </c>
      <c r="D72" s="246"/>
      <c r="E72" s="246"/>
      <c r="F72" s="249">
        <f t="shared" si="13"/>
        <v>0</v>
      </c>
      <c r="G72" s="249" t="s">
        <v>7</v>
      </c>
      <c r="H72" s="275">
        <f>'Grönsak från frö 1'!F57</f>
        <v>0</v>
      </c>
      <c r="I72" s="249" t="s">
        <v>57</v>
      </c>
      <c r="J72" s="275">
        <f t="shared" ref="J72:J76" si="17">F72*H72</f>
        <v>0</v>
      </c>
      <c r="K72" s="340" t="s">
        <v>145</v>
      </c>
    </row>
    <row r="73" spans="2:11" s="302" customFormat="1" ht="21" x14ac:dyDescent="0.4">
      <c r="B73" s="257"/>
      <c r="C73" s="249" t="s">
        <v>167</v>
      </c>
      <c r="D73" s="246"/>
      <c r="E73" s="246"/>
      <c r="F73" s="249">
        <f t="shared" si="13"/>
        <v>0</v>
      </c>
      <c r="G73" s="249" t="s">
        <v>7</v>
      </c>
      <c r="H73" s="275">
        <f>'Grönsak från frö 2'!F57</f>
        <v>0</v>
      </c>
      <c r="I73" s="249" t="s">
        <v>57</v>
      </c>
      <c r="J73" s="275">
        <f t="shared" si="17"/>
        <v>0</v>
      </c>
      <c r="K73" s="340" t="s">
        <v>145</v>
      </c>
    </row>
    <row r="74" spans="2:11" s="302" customFormat="1" ht="21" x14ac:dyDescent="0.4">
      <c r="B74" s="257"/>
      <c r="C74" s="249" t="s">
        <v>168</v>
      </c>
      <c r="D74" s="246"/>
      <c r="E74" s="246"/>
      <c r="F74" s="249">
        <f t="shared" si="13"/>
        <v>0</v>
      </c>
      <c r="G74" s="249" t="s">
        <v>7</v>
      </c>
      <c r="H74" s="275">
        <f>'Grönsak planterad 1'!F57</f>
        <v>0</v>
      </c>
      <c r="I74" s="249" t="s">
        <v>57</v>
      </c>
      <c r="J74" s="275">
        <f t="shared" si="17"/>
        <v>0</v>
      </c>
      <c r="K74" s="340" t="s">
        <v>145</v>
      </c>
    </row>
    <row r="75" spans="2:11" s="302" customFormat="1" ht="21" x14ac:dyDescent="0.4">
      <c r="B75" s="257"/>
      <c r="C75" s="249" t="s">
        <v>169</v>
      </c>
      <c r="D75" s="246"/>
      <c r="E75" s="246"/>
      <c r="F75" s="249">
        <f t="shared" si="13"/>
        <v>0</v>
      </c>
      <c r="G75" s="249" t="s">
        <v>7</v>
      </c>
      <c r="H75" s="275">
        <f>'Grönsak planterad 2'!F57</f>
        <v>0</v>
      </c>
      <c r="I75" s="249" t="s">
        <v>57</v>
      </c>
      <c r="J75" s="275">
        <f t="shared" si="17"/>
        <v>0</v>
      </c>
      <c r="K75" s="340" t="s">
        <v>145</v>
      </c>
    </row>
    <row r="76" spans="2:11" s="302" customFormat="1" ht="21" x14ac:dyDescent="0.4">
      <c r="B76" s="257"/>
      <c r="C76" s="249" t="s">
        <v>170</v>
      </c>
      <c r="D76" s="246"/>
      <c r="E76" s="246"/>
      <c r="F76" s="249">
        <f t="shared" si="13"/>
        <v>0</v>
      </c>
      <c r="G76" s="249" t="s">
        <v>7</v>
      </c>
      <c r="H76" s="275">
        <f>'Grönsak planterad 3'!F57</f>
        <v>0</v>
      </c>
      <c r="I76" s="249" t="s">
        <v>57</v>
      </c>
      <c r="J76" s="275">
        <f t="shared" si="17"/>
        <v>0</v>
      </c>
      <c r="K76" s="340" t="s">
        <v>145</v>
      </c>
    </row>
    <row r="77" spans="2:11" ht="17.399999999999999" x14ac:dyDescent="0.3">
      <c r="B77" s="343"/>
      <c r="C77" s="249" t="s">
        <v>171</v>
      </c>
      <c r="D77" s="246"/>
      <c r="E77" s="246"/>
      <c r="F77" s="249">
        <f t="shared" si="13"/>
        <v>3</v>
      </c>
      <c r="G77" s="249" t="s">
        <v>7</v>
      </c>
      <c r="H77" s="275">
        <f>IF(F77&gt;0,'Jordgubbe friland'!F86,0)</f>
        <v>2254.566880359082</v>
      </c>
      <c r="I77" s="249" t="s">
        <v>57</v>
      </c>
      <c r="J77" s="275">
        <f>F77*H77</f>
        <v>6763.7006410772465</v>
      </c>
      <c r="K77" s="340" t="s">
        <v>145</v>
      </c>
    </row>
    <row r="78" spans="2:11" ht="17.399999999999999" x14ac:dyDescent="0.3">
      <c r="B78" s="343"/>
      <c r="C78" s="249" t="s">
        <v>172</v>
      </c>
      <c r="D78" s="246"/>
      <c r="E78" s="246"/>
      <c r="F78" s="249">
        <f t="shared" si="13"/>
        <v>0</v>
      </c>
      <c r="G78" s="249" t="s">
        <v>7</v>
      </c>
      <c r="H78" s="275">
        <f>'Jordgubbe tunnel'!F58</f>
        <v>0</v>
      </c>
      <c r="I78" s="249" t="s">
        <v>57</v>
      </c>
      <c r="J78" s="275">
        <f t="shared" ref="J78:J89" si="18">F78*H78</f>
        <v>0</v>
      </c>
      <c r="K78" s="340" t="s">
        <v>145</v>
      </c>
    </row>
    <row r="79" spans="2:11" ht="17.399999999999999" x14ac:dyDescent="0.3">
      <c r="B79" s="343"/>
      <c r="C79" s="249" t="s">
        <v>173</v>
      </c>
      <c r="D79" s="246"/>
      <c r="E79" s="246"/>
      <c r="F79" s="249">
        <f t="shared" si="13"/>
        <v>0</v>
      </c>
      <c r="G79" s="249" t="s">
        <v>7</v>
      </c>
      <c r="H79" s="275">
        <f>'Hallon friland'!F84</f>
        <v>0</v>
      </c>
      <c r="I79" s="249" t="s">
        <v>57</v>
      </c>
      <c r="J79" s="275">
        <f t="shared" si="18"/>
        <v>0</v>
      </c>
      <c r="K79" s="340" t="s">
        <v>145</v>
      </c>
    </row>
    <row r="80" spans="2:11" ht="17.399999999999999" x14ac:dyDescent="0.3">
      <c r="B80" s="343"/>
      <c r="C80" s="249" t="s">
        <v>174</v>
      </c>
      <c r="D80" s="246"/>
      <c r="E80" s="246"/>
      <c r="F80" s="249">
        <f t="shared" si="13"/>
        <v>0</v>
      </c>
      <c r="G80" s="249" t="s">
        <v>7</v>
      </c>
      <c r="H80" s="275">
        <f>'Hallon tunnel'!F57</f>
        <v>0</v>
      </c>
      <c r="I80" s="249" t="s">
        <v>57</v>
      </c>
      <c r="J80" s="275">
        <f t="shared" si="18"/>
        <v>0</v>
      </c>
      <c r="K80" s="340" t="s">
        <v>145</v>
      </c>
    </row>
    <row r="81" spans="2:11" ht="17.399999999999999" x14ac:dyDescent="0.3">
      <c r="B81" s="343"/>
      <c r="C81" s="249" t="s">
        <v>175</v>
      </c>
      <c r="D81" s="246"/>
      <c r="E81" s="246"/>
      <c r="F81" s="249">
        <f t="shared" si="13"/>
        <v>0</v>
      </c>
      <c r="G81" s="249" t="s">
        <v>7</v>
      </c>
      <c r="H81" s="275">
        <f>IF(F81&gt;0,'Svarta vinbär'!F81,0)</f>
        <v>0</v>
      </c>
      <c r="I81" s="249" t="s">
        <v>57</v>
      </c>
      <c r="J81" s="275">
        <f t="shared" si="18"/>
        <v>0</v>
      </c>
      <c r="K81" s="340" t="s">
        <v>145</v>
      </c>
    </row>
    <row r="82" spans="2:11" ht="17.399999999999999" x14ac:dyDescent="0.3">
      <c r="B82" s="343"/>
      <c r="C82" s="249" t="s">
        <v>176</v>
      </c>
      <c r="D82" s="246"/>
      <c r="E82" s="246"/>
      <c r="F82" s="249">
        <f t="shared" si="13"/>
        <v>0</v>
      </c>
      <c r="G82" s="249" t="s">
        <v>7</v>
      </c>
      <c r="H82" s="275">
        <f>IF(F82&gt;0,Buskblåbär!F84,0)</f>
        <v>0</v>
      </c>
      <c r="I82" s="249" t="s">
        <v>57</v>
      </c>
      <c r="J82" s="275">
        <f t="shared" si="18"/>
        <v>0</v>
      </c>
      <c r="K82" s="340" t="s">
        <v>145</v>
      </c>
    </row>
    <row r="83" spans="2:11" ht="17.399999999999999" x14ac:dyDescent="0.3">
      <c r="B83" s="343"/>
      <c r="C83" s="249" t="s">
        <v>177</v>
      </c>
      <c r="D83" s="246"/>
      <c r="E83" s="246"/>
      <c r="F83" s="249">
        <f t="shared" si="13"/>
        <v>5</v>
      </c>
      <c r="G83" s="249" t="s">
        <v>7</v>
      </c>
      <c r="H83" s="275">
        <f>Äpple!F84</f>
        <v>1113.5815816424329</v>
      </c>
      <c r="I83" s="249" t="s">
        <v>57</v>
      </c>
      <c r="J83" s="275">
        <f t="shared" si="18"/>
        <v>5567.9079082121643</v>
      </c>
      <c r="K83" s="340" t="s">
        <v>145</v>
      </c>
    </row>
    <row r="84" spans="2:11" ht="17.399999999999999" x14ac:dyDescent="0.3">
      <c r="B84" s="343"/>
      <c r="C84" s="249" t="s">
        <v>178</v>
      </c>
      <c r="D84" s="246"/>
      <c r="E84" s="246"/>
      <c r="F84" s="249">
        <f t="shared" si="13"/>
        <v>0</v>
      </c>
      <c r="G84" s="249" t="s">
        <v>7</v>
      </c>
      <c r="H84" s="275">
        <f>IF(F84&gt;0,Havre!F55,0)</f>
        <v>0</v>
      </c>
      <c r="I84" s="249" t="s">
        <v>57</v>
      </c>
      <c r="J84" s="275">
        <f t="shared" si="18"/>
        <v>0</v>
      </c>
      <c r="K84" s="340" t="s">
        <v>145</v>
      </c>
    </row>
    <row r="85" spans="2:11" ht="17.399999999999999" x14ac:dyDescent="0.3">
      <c r="B85" s="343"/>
      <c r="C85" s="249" t="s">
        <v>179</v>
      </c>
      <c r="D85" s="246"/>
      <c r="E85" s="246"/>
      <c r="F85" s="249">
        <f t="shared" si="13"/>
        <v>0</v>
      </c>
      <c r="G85" s="249" t="s">
        <v>7</v>
      </c>
      <c r="H85" s="275">
        <f>IF(F85&gt;0,Korn!F55,0)</f>
        <v>0</v>
      </c>
      <c r="I85" s="249" t="s">
        <v>57</v>
      </c>
      <c r="J85" s="275">
        <f t="shared" ref="J85:J86" si="19">F85*H85</f>
        <v>0</v>
      </c>
      <c r="K85" s="340" t="s">
        <v>145</v>
      </c>
    </row>
    <row r="86" spans="2:11" ht="17.399999999999999" x14ac:dyDescent="0.3">
      <c r="B86" s="343"/>
      <c r="C86" s="249" t="s">
        <v>180</v>
      </c>
      <c r="D86" s="246"/>
      <c r="E86" s="246"/>
      <c r="F86" s="249">
        <f t="shared" si="13"/>
        <v>0</v>
      </c>
      <c r="G86" s="249" t="s">
        <v>7</v>
      </c>
      <c r="H86" s="275">
        <f>IF(F86&gt;0,Vete!F55,0)</f>
        <v>0</v>
      </c>
      <c r="I86" s="249" t="s">
        <v>57</v>
      </c>
      <c r="J86" s="275">
        <f t="shared" si="19"/>
        <v>0</v>
      </c>
      <c r="K86" s="340" t="s">
        <v>145</v>
      </c>
    </row>
    <row r="87" spans="2:11" ht="17.399999999999999" x14ac:dyDescent="0.3">
      <c r="B87" s="343"/>
      <c r="C87" s="249" t="s">
        <v>181</v>
      </c>
      <c r="D87" s="246"/>
      <c r="E87" s="246"/>
      <c r="F87" s="249">
        <f t="shared" si="13"/>
        <v>0</v>
      </c>
      <c r="G87" s="249" t="s">
        <v>7</v>
      </c>
      <c r="H87" s="275">
        <f>Höstråg!F55</f>
        <v>0</v>
      </c>
      <c r="I87" s="249" t="s">
        <v>57</v>
      </c>
      <c r="J87" s="275">
        <f t="shared" ref="J87" si="20">F87*H87</f>
        <v>0</v>
      </c>
      <c r="K87" s="340" t="s">
        <v>145</v>
      </c>
    </row>
    <row r="88" spans="2:11" ht="17.399999999999999" x14ac:dyDescent="0.3">
      <c r="B88" s="343"/>
      <c r="C88" s="249" t="s">
        <v>182</v>
      </c>
      <c r="D88" s="246"/>
      <c r="E88" s="246"/>
      <c r="F88" s="249">
        <f t="shared" si="13"/>
        <v>0</v>
      </c>
      <c r="G88" s="249" t="s">
        <v>7</v>
      </c>
      <c r="H88" s="275">
        <f>IF(F88&gt;0,Naturvårdsåker!F55,0)</f>
        <v>0</v>
      </c>
      <c r="I88" s="249" t="s">
        <v>57</v>
      </c>
      <c r="J88" s="275">
        <f t="shared" si="18"/>
        <v>0</v>
      </c>
      <c r="K88" s="340" t="s">
        <v>145</v>
      </c>
    </row>
    <row r="89" spans="2:11" ht="17.399999999999999" x14ac:dyDescent="0.3">
      <c r="B89" s="343"/>
      <c r="C89" s="249" t="s">
        <v>183</v>
      </c>
      <c r="D89" s="246"/>
      <c r="E89" s="246"/>
      <c r="F89" s="249">
        <f t="shared" si="13"/>
        <v>0</v>
      </c>
      <c r="G89" s="249" t="s">
        <v>7</v>
      </c>
      <c r="H89" s="275">
        <f>Vall!F55</f>
        <v>0</v>
      </c>
      <c r="I89" s="249" t="s">
        <v>57</v>
      </c>
      <c r="J89" s="275">
        <f t="shared" si="18"/>
        <v>0</v>
      </c>
      <c r="K89" s="340" t="s">
        <v>145</v>
      </c>
    </row>
    <row r="90" spans="2:11" s="302" customFormat="1" ht="21" x14ac:dyDescent="0.4">
      <c r="B90" s="1061" t="s">
        <v>191</v>
      </c>
      <c r="C90" s="1043"/>
      <c r="D90" s="1043"/>
      <c r="E90" s="1043"/>
      <c r="F90" s="1043"/>
      <c r="G90" s="349"/>
      <c r="H90" s="349"/>
      <c r="I90" s="349"/>
      <c r="J90" s="347">
        <f>SUM(J66:J89)</f>
        <v>97619.38878099795</v>
      </c>
      <c r="K90" s="348" t="s">
        <v>145</v>
      </c>
    </row>
    <row r="91" spans="2:11" ht="34.950000000000003" customHeight="1" x14ac:dyDescent="0.25">
      <c r="B91" s="343"/>
      <c r="C91" s="246"/>
      <c r="D91" s="246"/>
      <c r="E91" s="246"/>
      <c r="F91" s="246"/>
      <c r="G91" s="246"/>
      <c r="H91" s="246"/>
      <c r="I91" s="246"/>
      <c r="J91" s="246"/>
      <c r="K91" s="338"/>
    </row>
    <row r="92" spans="2:11" s="302" customFormat="1" ht="21" x14ac:dyDescent="0.4">
      <c r="B92" s="257" t="s">
        <v>192</v>
      </c>
      <c r="C92" s="349"/>
      <c r="D92" s="349"/>
      <c r="E92" s="349"/>
      <c r="F92" s="349"/>
      <c r="G92" s="349"/>
      <c r="H92" s="349"/>
      <c r="I92" s="349"/>
      <c r="J92" s="349"/>
      <c r="K92" s="350"/>
    </row>
    <row r="93" spans="2:11" s="302" customFormat="1" ht="21" x14ac:dyDescent="0.4">
      <c r="B93" s="257"/>
      <c r="C93" s="249" t="s">
        <v>160</v>
      </c>
      <c r="D93" s="246"/>
      <c r="E93" s="246"/>
      <c r="F93" s="249">
        <f t="shared" ref="F93:F116" si="21">F66</f>
        <v>10</v>
      </c>
      <c r="G93" s="249" t="s">
        <v>7</v>
      </c>
      <c r="H93" s="275">
        <f>Matpotatis!F60</f>
        <v>2327.25</v>
      </c>
      <c r="I93" s="249" t="s">
        <v>57</v>
      </c>
      <c r="J93" s="275">
        <f t="shared" ref="J93" si="22">F93*H93</f>
        <v>23272.5</v>
      </c>
      <c r="K93" s="340" t="s">
        <v>145</v>
      </c>
    </row>
    <row r="94" spans="2:11" s="302" customFormat="1" ht="21" x14ac:dyDescent="0.4">
      <c r="B94" s="257"/>
      <c r="C94" s="249" t="s">
        <v>161</v>
      </c>
      <c r="D94" s="246"/>
      <c r="E94" s="246"/>
      <c r="F94" s="249">
        <f t="shared" si="21"/>
        <v>10</v>
      </c>
      <c r="G94" s="249" t="s">
        <v>7</v>
      </c>
      <c r="H94" s="275">
        <f>Morot!F62</f>
        <v>3944</v>
      </c>
      <c r="I94" s="249" t="s">
        <v>57</v>
      </c>
      <c r="J94" s="275">
        <f t="shared" ref="J94:J96" si="23">F94*H94</f>
        <v>39440</v>
      </c>
      <c r="K94" s="340" t="s">
        <v>145</v>
      </c>
    </row>
    <row r="95" spans="2:11" s="302" customFormat="1" ht="21" x14ac:dyDescent="0.4">
      <c r="B95" s="257"/>
      <c r="C95" s="249" t="s">
        <v>162</v>
      </c>
      <c r="D95" s="246"/>
      <c r="E95" s="246"/>
      <c r="F95" s="249">
        <f t="shared" si="21"/>
        <v>10</v>
      </c>
      <c r="G95" s="249" t="s">
        <v>7</v>
      </c>
      <c r="H95" s="275">
        <f>Kål!F63</f>
        <v>2842</v>
      </c>
      <c r="I95" s="249" t="s">
        <v>57</v>
      </c>
      <c r="J95" s="275">
        <f t="shared" si="23"/>
        <v>28420</v>
      </c>
      <c r="K95" s="340" t="s">
        <v>145</v>
      </c>
    </row>
    <row r="96" spans="2:11" s="302" customFormat="1" ht="21" x14ac:dyDescent="0.4">
      <c r="B96" s="257"/>
      <c r="C96" s="249" t="s">
        <v>163</v>
      </c>
      <c r="D96" s="246"/>
      <c r="E96" s="246"/>
      <c r="F96" s="249">
        <f t="shared" si="21"/>
        <v>2</v>
      </c>
      <c r="G96" s="249" t="s">
        <v>7</v>
      </c>
      <c r="H96" s="275">
        <f>Lök!F62</f>
        <v>3103</v>
      </c>
      <c r="I96" s="249" t="s">
        <v>57</v>
      </c>
      <c r="J96" s="275">
        <f t="shared" si="23"/>
        <v>6206</v>
      </c>
      <c r="K96" s="340" t="s">
        <v>145</v>
      </c>
    </row>
    <row r="97" spans="2:11" s="302" customFormat="1" ht="21" x14ac:dyDescent="0.4">
      <c r="B97" s="257"/>
      <c r="C97" s="249" t="s">
        <v>164</v>
      </c>
      <c r="D97" s="246"/>
      <c r="E97" s="246"/>
      <c r="F97" s="249">
        <f t="shared" si="21"/>
        <v>5</v>
      </c>
      <c r="G97" s="249" t="s">
        <v>7</v>
      </c>
      <c r="H97" s="275">
        <f>Sättlök!F62</f>
        <v>1479</v>
      </c>
      <c r="I97" s="249" t="s">
        <v>57</v>
      </c>
      <c r="J97" s="275">
        <f>Sättlök!J62</f>
        <v>7395</v>
      </c>
      <c r="K97" s="340" t="s">
        <v>145</v>
      </c>
    </row>
    <row r="98" spans="2:11" s="302" customFormat="1" ht="21" x14ac:dyDescent="0.4">
      <c r="B98" s="257"/>
      <c r="C98" s="249" t="s">
        <v>193</v>
      </c>
      <c r="D98" s="246"/>
      <c r="E98" s="246"/>
      <c r="F98" s="249">
        <f t="shared" si="21"/>
        <v>2</v>
      </c>
      <c r="G98" s="249" t="s">
        <v>7</v>
      </c>
      <c r="H98" s="275">
        <f>Trädgårdsärt!F60</f>
        <v>1261.5</v>
      </c>
      <c r="I98" s="249" t="s">
        <v>57</v>
      </c>
      <c r="J98" s="275">
        <f t="shared" ref="J98" si="24">F98*H98</f>
        <v>2523</v>
      </c>
      <c r="K98" s="340" t="s">
        <v>145</v>
      </c>
    </row>
    <row r="99" spans="2:11" s="302" customFormat="1" ht="21" x14ac:dyDescent="0.4">
      <c r="B99" s="257"/>
      <c r="C99" s="249" t="s">
        <v>166</v>
      </c>
      <c r="D99" s="246"/>
      <c r="E99" s="246"/>
      <c r="F99" s="249">
        <f t="shared" si="21"/>
        <v>0</v>
      </c>
      <c r="G99" s="249" t="s">
        <v>7</v>
      </c>
      <c r="H99" s="275">
        <f>'Grönsak från frö 1'!F62</f>
        <v>0</v>
      </c>
      <c r="I99" s="249" t="s">
        <v>57</v>
      </c>
      <c r="J99" s="275">
        <f t="shared" ref="J99:J103" si="25">F99*H99</f>
        <v>0</v>
      </c>
      <c r="K99" s="340" t="s">
        <v>145</v>
      </c>
    </row>
    <row r="100" spans="2:11" s="302" customFormat="1" ht="21" x14ac:dyDescent="0.4">
      <c r="B100" s="257"/>
      <c r="C100" s="249" t="s">
        <v>167</v>
      </c>
      <c r="D100" s="246"/>
      <c r="E100" s="246"/>
      <c r="F100" s="249">
        <f t="shared" si="21"/>
        <v>0</v>
      </c>
      <c r="G100" s="249" t="s">
        <v>7</v>
      </c>
      <c r="H100" s="275">
        <f>'Grönsak från frö 2'!F62</f>
        <v>0</v>
      </c>
      <c r="I100" s="249" t="s">
        <v>57</v>
      </c>
      <c r="J100" s="275">
        <f t="shared" si="25"/>
        <v>0</v>
      </c>
      <c r="K100" s="340" t="s">
        <v>145</v>
      </c>
    </row>
    <row r="101" spans="2:11" s="302" customFormat="1" ht="21" x14ac:dyDescent="0.4">
      <c r="B101" s="257"/>
      <c r="C101" s="249" t="s">
        <v>168</v>
      </c>
      <c r="D101" s="246"/>
      <c r="E101" s="246"/>
      <c r="F101" s="249">
        <f t="shared" si="21"/>
        <v>0</v>
      </c>
      <c r="G101" s="249" t="s">
        <v>7</v>
      </c>
      <c r="H101" s="275">
        <f>'Grönsak planterad 1'!F62</f>
        <v>0</v>
      </c>
      <c r="I101" s="249" t="s">
        <v>57</v>
      </c>
      <c r="J101" s="275">
        <f t="shared" si="25"/>
        <v>0</v>
      </c>
      <c r="K101" s="340" t="s">
        <v>145</v>
      </c>
    </row>
    <row r="102" spans="2:11" s="302" customFormat="1" ht="21" x14ac:dyDescent="0.4">
      <c r="B102" s="257"/>
      <c r="C102" s="249" t="s">
        <v>169</v>
      </c>
      <c r="D102" s="246"/>
      <c r="E102" s="246"/>
      <c r="F102" s="249">
        <f t="shared" si="21"/>
        <v>0</v>
      </c>
      <c r="G102" s="249" t="s">
        <v>7</v>
      </c>
      <c r="H102" s="275">
        <f>'Grönsak planterad 2'!F62</f>
        <v>0</v>
      </c>
      <c r="I102" s="249" t="s">
        <v>57</v>
      </c>
      <c r="J102" s="275">
        <f t="shared" si="25"/>
        <v>0</v>
      </c>
      <c r="K102" s="340" t="s">
        <v>145</v>
      </c>
    </row>
    <row r="103" spans="2:11" s="302" customFormat="1" ht="21" x14ac:dyDescent="0.4">
      <c r="B103" s="257"/>
      <c r="C103" s="249" t="s">
        <v>170</v>
      </c>
      <c r="D103" s="246"/>
      <c r="E103" s="246"/>
      <c r="F103" s="249">
        <f t="shared" si="21"/>
        <v>0</v>
      </c>
      <c r="G103" s="249" t="s">
        <v>7</v>
      </c>
      <c r="H103" s="275">
        <f>'Grönsak planterad 3'!F62</f>
        <v>0</v>
      </c>
      <c r="I103" s="249" t="s">
        <v>57</v>
      </c>
      <c r="J103" s="275">
        <f t="shared" si="25"/>
        <v>0</v>
      </c>
      <c r="K103" s="340" t="s">
        <v>145</v>
      </c>
    </row>
    <row r="104" spans="2:11" ht="17.399999999999999" x14ac:dyDescent="0.3">
      <c r="B104" s="343"/>
      <c r="C104" s="249" t="s">
        <v>171</v>
      </c>
      <c r="D104" s="246"/>
      <c r="E104" s="246"/>
      <c r="F104" s="249">
        <f t="shared" si="21"/>
        <v>3</v>
      </c>
      <c r="G104" s="249" t="s">
        <v>7</v>
      </c>
      <c r="H104" s="275">
        <f>IF(F104&gt;0,'Jordgubbe friland'!F97,0)</f>
        <v>2199.1666666666665</v>
      </c>
      <c r="I104" s="249" t="s">
        <v>57</v>
      </c>
      <c r="J104" s="275">
        <f>F104*H104</f>
        <v>6597.5</v>
      </c>
      <c r="K104" s="340" t="s">
        <v>145</v>
      </c>
    </row>
    <row r="105" spans="2:11" ht="17.399999999999999" x14ac:dyDescent="0.3">
      <c r="B105" s="343"/>
      <c r="C105" s="249" t="s">
        <v>172</v>
      </c>
      <c r="D105" s="246"/>
      <c r="E105" s="246"/>
      <c r="F105" s="249">
        <f t="shared" si="21"/>
        <v>0</v>
      </c>
      <c r="G105" s="249" t="s">
        <v>7</v>
      </c>
      <c r="H105" s="275">
        <f>'Jordgubbe tunnel'!F62</f>
        <v>0</v>
      </c>
      <c r="I105" s="249" t="s">
        <v>57</v>
      </c>
      <c r="J105" s="275">
        <f t="shared" ref="J105:J116" si="26">F105*H105</f>
        <v>0</v>
      </c>
      <c r="K105" s="340" t="s">
        <v>145</v>
      </c>
    </row>
    <row r="106" spans="2:11" ht="17.399999999999999" x14ac:dyDescent="0.3">
      <c r="B106" s="343"/>
      <c r="C106" s="249" t="s">
        <v>173</v>
      </c>
      <c r="D106" s="246"/>
      <c r="E106" s="246"/>
      <c r="F106" s="249">
        <f t="shared" si="21"/>
        <v>0</v>
      </c>
      <c r="G106" s="249" t="s">
        <v>7</v>
      </c>
      <c r="H106" s="275">
        <f>'Hallon friland'!F95</f>
        <v>0</v>
      </c>
      <c r="I106" s="249" t="s">
        <v>57</v>
      </c>
      <c r="J106" s="275">
        <f t="shared" si="26"/>
        <v>0</v>
      </c>
      <c r="K106" s="340" t="s">
        <v>145</v>
      </c>
    </row>
    <row r="107" spans="2:11" ht="17.399999999999999" x14ac:dyDescent="0.3">
      <c r="B107" s="343"/>
      <c r="C107" s="249" t="s">
        <v>174</v>
      </c>
      <c r="D107" s="246"/>
      <c r="E107" s="246"/>
      <c r="F107" s="249">
        <f t="shared" si="21"/>
        <v>0</v>
      </c>
      <c r="G107" s="249" t="s">
        <v>7</v>
      </c>
      <c r="H107" s="275">
        <f>'Hallon tunnel'!F63</f>
        <v>0</v>
      </c>
      <c r="I107" s="249" t="s">
        <v>57</v>
      </c>
      <c r="J107" s="275">
        <f t="shared" si="26"/>
        <v>0</v>
      </c>
      <c r="K107" s="340" t="s">
        <v>145</v>
      </c>
    </row>
    <row r="108" spans="2:11" ht="17.399999999999999" x14ac:dyDescent="0.3">
      <c r="B108" s="343"/>
      <c r="C108" s="249" t="s">
        <v>175</v>
      </c>
      <c r="D108" s="246"/>
      <c r="E108" s="246"/>
      <c r="F108" s="249">
        <f t="shared" si="21"/>
        <v>0</v>
      </c>
      <c r="G108" s="249" t="s">
        <v>7</v>
      </c>
      <c r="H108" s="275">
        <f>IF(F108&gt;0,'Svarta vinbär'!F95,0)</f>
        <v>0</v>
      </c>
      <c r="I108" s="249" t="s">
        <v>57</v>
      </c>
      <c r="J108" s="275">
        <f t="shared" si="26"/>
        <v>0</v>
      </c>
      <c r="K108" s="340" t="s">
        <v>145</v>
      </c>
    </row>
    <row r="109" spans="2:11" ht="17.399999999999999" x14ac:dyDescent="0.3">
      <c r="B109" s="343"/>
      <c r="C109" s="249" t="s">
        <v>176</v>
      </c>
      <c r="D109" s="246"/>
      <c r="E109" s="246"/>
      <c r="F109" s="249">
        <f t="shared" si="21"/>
        <v>0</v>
      </c>
      <c r="G109" s="249" t="s">
        <v>7</v>
      </c>
      <c r="H109" s="275">
        <f>IF(F109&gt;0,Buskblåbär!F98,0)</f>
        <v>0</v>
      </c>
      <c r="I109" s="249" t="s">
        <v>57</v>
      </c>
      <c r="J109" s="275">
        <f t="shared" si="26"/>
        <v>0</v>
      </c>
      <c r="K109" s="340" t="s">
        <v>145</v>
      </c>
    </row>
    <row r="110" spans="2:11" ht="17.399999999999999" x14ac:dyDescent="0.3">
      <c r="B110" s="343"/>
      <c r="C110" s="249" t="s">
        <v>177</v>
      </c>
      <c r="D110" s="246"/>
      <c r="E110" s="246"/>
      <c r="F110" s="249">
        <f t="shared" si="21"/>
        <v>5</v>
      </c>
      <c r="G110" s="249" t="s">
        <v>7</v>
      </c>
      <c r="H110" s="275">
        <f>IF(F110&gt;0,Äpple!F98,0)</f>
        <v>2763.2166666666667</v>
      </c>
      <c r="I110" s="249" t="s">
        <v>57</v>
      </c>
      <c r="J110" s="275">
        <f t="shared" si="26"/>
        <v>13816.083333333334</v>
      </c>
      <c r="K110" s="340" t="s">
        <v>145</v>
      </c>
    </row>
    <row r="111" spans="2:11" ht="17.399999999999999" x14ac:dyDescent="0.3">
      <c r="B111" s="343"/>
      <c r="C111" s="249" t="s">
        <v>178</v>
      </c>
      <c r="D111" s="246"/>
      <c r="E111" s="246"/>
      <c r="F111" s="249">
        <f t="shared" si="21"/>
        <v>0</v>
      </c>
      <c r="G111" s="249" t="s">
        <v>7</v>
      </c>
      <c r="H111" s="275">
        <f>IF(F111&gt;0,Havre!F58,0)</f>
        <v>0</v>
      </c>
      <c r="I111" s="249" t="s">
        <v>57</v>
      </c>
      <c r="J111" s="275">
        <f t="shared" si="26"/>
        <v>0</v>
      </c>
      <c r="K111" s="340" t="s">
        <v>145</v>
      </c>
    </row>
    <row r="112" spans="2:11" ht="17.399999999999999" x14ac:dyDescent="0.3">
      <c r="B112" s="343"/>
      <c r="C112" s="249" t="s">
        <v>179</v>
      </c>
      <c r="D112" s="246"/>
      <c r="E112" s="246"/>
      <c r="F112" s="249">
        <f t="shared" si="21"/>
        <v>0</v>
      </c>
      <c r="G112" s="249" t="s">
        <v>7</v>
      </c>
      <c r="H112" s="275">
        <f>IF(F112&gt;0,Korn!F58,0)</f>
        <v>0</v>
      </c>
      <c r="I112" s="249" t="s">
        <v>57</v>
      </c>
      <c r="J112" s="275">
        <f t="shared" ref="J112:J113" si="27">F112*H112</f>
        <v>0</v>
      </c>
      <c r="K112" s="340" t="s">
        <v>145</v>
      </c>
    </row>
    <row r="113" spans="2:11" ht="17.399999999999999" x14ac:dyDescent="0.3">
      <c r="B113" s="343"/>
      <c r="C113" s="249" t="s">
        <v>180</v>
      </c>
      <c r="D113" s="246"/>
      <c r="E113" s="246"/>
      <c r="F113" s="249">
        <f t="shared" si="21"/>
        <v>0</v>
      </c>
      <c r="G113" s="249" t="s">
        <v>7</v>
      </c>
      <c r="H113" s="275">
        <f>IF(F113&gt;0,Vete!F58,0)</f>
        <v>0</v>
      </c>
      <c r="I113" s="249" t="s">
        <v>57</v>
      </c>
      <c r="J113" s="275">
        <f t="shared" si="27"/>
        <v>0</v>
      </c>
      <c r="K113" s="340" t="s">
        <v>145</v>
      </c>
    </row>
    <row r="114" spans="2:11" ht="17.399999999999999" x14ac:dyDescent="0.3">
      <c r="B114" s="343"/>
      <c r="C114" s="249" t="s">
        <v>181</v>
      </c>
      <c r="D114" s="246"/>
      <c r="E114" s="246"/>
      <c r="F114" s="249">
        <f t="shared" si="21"/>
        <v>0</v>
      </c>
      <c r="G114" s="249" t="s">
        <v>7</v>
      </c>
      <c r="H114" s="275">
        <f>Höstråg!F58</f>
        <v>0</v>
      </c>
      <c r="I114" s="249" t="s">
        <v>57</v>
      </c>
      <c r="J114" s="275">
        <f t="shared" ref="J114" si="28">F114*H114</f>
        <v>0</v>
      </c>
      <c r="K114" s="340" t="s">
        <v>145</v>
      </c>
    </row>
    <row r="115" spans="2:11" ht="17.399999999999999" x14ac:dyDescent="0.3">
      <c r="B115" s="343"/>
      <c r="C115" s="249" t="s">
        <v>182</v>
      </c>
      <c r="D115" s="246"/>
      <c r="E115" s="246"/>
      <c r="F115" s="249">
        <f t="shared" si="21"/>
        <v>0</v>
      </c>
      <c r="G115" s="249" t="s">
        <v>7</v>
      </c>
      <c r="H115" s="275">
        <f>IF(F115&gt;0,Naturvårdsåker!F58,0)</f>
        <v>0</v>
      </c>
      <c r="I115" s="249" t="s">
        <v>57</v>
      </c>
      <c r="J115" s="275">
        <f t="shared" si="26"/>
        <v>0</v>
      </c>
      <c r="K115" s="340" t="s">
        <v>145</v>
      </c>
    </row>
    <row r="116" spans="2:11" ht="17.399999999999999" x14ac:dyDescent="0.3">
      <c r="B116" s="343"/>
      <c r="C116" s="249" t="s">
        <v>183</v>
      </c>
      <c r="D116" s="246"/>
      <c r="E116" s="246"/>
      <c r="F116" s="249">
        <f t="shared" si="21"/>
        <v>0</v>
      </c>
      <c r="G116" s="249" t="s">
        <v>7</v>
      </c>
      <c r="H116" s="275">
        <f>Vall!F60</f>
        <v>0</v>
      </c>
      <c r="I116" s="249" t="s">
        <v>57</v>
      </c>
      <c r="J116" s="275">
        <f t="shared" si="26"/>
        <v>0</v>
      </c>
      <c r="K116" s="340" t="s">
        <v>145</v>
      </c>
    </row>
    <row r="117" spans="2:11" s="302" customFormat="1" ht="21" x14ac:dyDescent="0.4">
      <c r="B117" s="1061" t="s">
        <v>194</v>
      </c>
      <c r="C117" s="1043"/>
      <c r="D117" s="1043"/>
      <c r="E117" s="1043"/>
      <c r="F117" s="1043"/>
      <c r="G117" s="349"/>
      <c r="H117" s="349"/>
      <c r="I117" s="349"/>
      <c r="J117" s="347">
        <f>SUM(J94:J116)</f>
        <v>104397.58333333333</v>
      </c>
      <c r="K117" s="348" t="s">
        <v>145</v>
      </c>
    </row>
    <row r="118" spans="2:11" x14ac:dyDescent="0.25">
      <c r="B118" s="343"/>
      <c r="C118" s="246"/>
      <c r="D118" s="246"/>
      <c r="E118" s="246"/>
      <c r="F118" s="246"/>
      <c r="G118" s="246"/>
      <c r="H118" s="246"/>
      <c r="I118" s="246"/>
      <c r="J118" s="246"/>
      <c r="K118" s="338"/>
    </row>
    <row r="119" spans="2:11" ht="21" customHeight="1" x14ac:dyDescent="0.4">
      <c r="B119" s="1062" t="s">
        <v>195</v>
      </c>
      <c r="C119" s="1063"/>
      <c r="D119" s="1063"/>
      <c r="E119" s="1063"/>
      <c r="F119" s="246"/>
      <c r="G119" s="246"/>
      <c r="H119" s="246"/>
      <c r="I119" s="246"/>
      <c r="J119" s="246"/>
      <c r="K119" s="338"/>
    </row>
    <row r="120" spans="2:11" ht="21" x14ac:dyDescent="0.4">
      <c r="B120" s="333"/>
      <c r="C120" s="249" t="s">
        <v>160</v>
      </c>
      <c r="D120" s="246"/>
      <c r="E120" s="246"/>
      <c r="F120" s="249">
        <f t="shared" ref="F120:F143" si="29">F93</f>
        <v>10</v>
      </c>
      <c r="G120" s="249" t="s">
        <v>7</v>
      </c>
      <c r="H120" s="275">
        <f>Matpotatis!F64</f>
        <v>8120.0954964539005</v>
      </c>
      <c r="I120" s="249" t="s">
        <v>57</v>
      </c>
      <c r="J120" s="275">
        <f t="shared" ref="J120" si="30">F120*H120</f>
        <v>81200.954964539007</v>
      </c>
      <c r="K120" s="340" t="s">
        <v>145</v>
      </c>
    </row>
    <row r="121" spans="2:11" ht="21" x14ac:dyDescent="0.4">
      <c r="B121" s="333"/>
      <c r="C121" s="249" t="s">
        <v>161</v>
      </c>
      <c r="D121" s="246"/>
      <c r="E121" s="246"/>
      <c r="F121" s="249">
        <f t="shared" si="29"/>
        <v>10</v>
      </c>
      <c r="G121" s="249" t="s">
        <v>7</v>
      </c>
      <c r="H121" s="275">
        <f>Morot!F64</f>
        <v>11538.617073030478</v>
      </c>
      <c r="I121" s="249" t="s">
        <v>57</v>
      </c>
      <c r="J121" s="275">
        <f t="shared" ref="J121:J143" si="31">F121*H121</f>
        <v>115386.17073030479</v>
      </c>
      <c r="K121" s="340" t="s">
        <v>145</v>
      </c>
    </row>
    <row r="122" spans="2:11" ht="21" x14ac:dyDescent="0.4">
      <c r="B122" s="333"/>
      <c r="C122" s="249" t="s">
        <v>162</v>
      </c>
      <c r="D122" s="246"/>
      <c r="E122" s="246"/>
      <c r="F122" s="249">
        <f t="shared" si="29"/>
        <v>10</v>
      </c>
      <c r="G122" s="249" t="s">
        <v>7</v>
      </c>
      <c r="H122" s="275">
        <f>Kål!F65</f>
        <v>12698.433739697144</v>
      </c>
      <c r="I122" s="249" t="s">
        <v>57</v>
      </c>
      <c r="J122" s="275">
        <f t="shared" si="31"/>
        <v>126984.33739697144</v>
      </c>
      <c r="K122" s="340" t="s">
        <v>145</v>
      </c>
    </row>
    <row r="123" spans="2:11" ht="21" x14ac:dyDescent="0.4">
      <c r="B123" s="333"/>
      <c r="C123" s="249" t="s">
        <v>163</v>
      </c>
      <c r="D123" s="246"/>
      <c r="E123" s="246"/>
      <c r="F123" s="249">
        <f t="shared" si="29"/>
        <v>2</v>
      </c>
      <c r="G123" s="249" t="s">
        <v>7</v>
      </c>
      <c r="H123" s="275">
        <f>Lök!F64</f>
        <v>16024.500753210657</v>
      </c>
      <c r="I123" s="249" t="s">
        <v>57</v>
      </c>
      <c r="J123" s="275">
        <f t="shared" si="31"/>
        <v>32049.001506421315</v>
      </c>
      <c r="K123" s="340" t="s">
        <v>145</v>
      </c>
    </row>
    <row r="124" spans="2:11" ht="21" x14ac:dyDescent="0.4">
      <c r="B124" s="333"/>
      <c r="C124" s="249" t="s">
        <v>164</v>
      </c>
      <c r="D124" s="246"/>
      <c r="E124" s="246"/>
      <c r="F124" s="249">
        <f t="shared" si="29"/>
        <v>5</v>
      </c>
      <c r="G124" s="249" t="s">
        <v>7</v>
      </c>
      <c r="H124" s="275">
        <f>Sättlök!F64</f>
        <v>13100.922050220432</v>
      </c>
      <c r="I124" s="249" t="s">
        <v>57</v>
      </c>
      <c r="J124" s="275">
        <f>Sättlök!J64</f>
        <v>65504.610251102175</v>
      </c>
      <c r="K124" s="340" t="s">
        <v>145</v>
      </c>
    </row>
    <row r="125" spans="2:11" ht="21" x14ac:dyDescent="0.4">
      <c r="B125" s="333"/>
      <c r="C125" s="249" t="s">
        <v>165</v>
      </c>
      <c r="D125" s="246"/>
      <c r="E125" s="246"/>
      <c r="F125" s="249">
        <f t="shared" si="29"/>
        <v>2</v>
      </c>
      <c r="G125" s="249" t="s">
        <v>7</v>
      </c>
      <c r="H125" s="275">
        <f>Trädgårdsärt!F64</f>
        <v>14083.115198277124</v>
      </c>
      <c r="I125" s="249" t="s">
        <v>57</v>
      </c>
      <c r="J125" s="275">
        <f t="shared" ref="J125" si="32">F125*H125</f>
        <v>28166.230396554249</v>
      </c>
      <c r="K125" s="340" t="s">
        <v>145</v>
      </c>
    </row>
    <row r="126" spans="2:11" ht="21" x14ac:dyDescent="0.4">
      <c r="B126" s="333"/>
      <c r="C126" s="249" t="s">
        <v>166</v>
      </c>
      <c r="D126" s="246"/>
      <c r="E126" s="246"/>
      <c r="F126" s="249">
        <f t="shared" si="29"/>
        <v>0</v>
      </c>
      <c r="G126" s="249" t="s">
        <v>7</v>
      </c>
      <c r="H126" s="275">
        <f>'Grönsak från frö 1'!F64</f>
        <v>0</v>
      </c>
      <c r="I126" s="249" t="s">
        <v>57</v>
      </c>
      <c r="J126" s="275">
        <f t="shared" ref="J126:J130" si="33">F126*H126</f>
        <v>0</v>
      </c>
      <c r="K126" s="340" t="s">
        <v>145</v>
      </c>
    </row>
    <row r="127" spans="2:11" ht="21" x14ac:dyDescent="0.4">
      <c r="B127" s="333"/>
      <c r="C127" s="249" t="s">
        <v>196</v>
      </c>
      <c r="D127" s="246"/>
      <c r="E127" s="246"/>
      <c r="F127" s="249">
        <f t="shared" si="29"/>
        <v>0</v>
      </c>
      <c r="G127" s="249" t="s">
        <v>7</v>
      </c>
      <c r="H127" s="275">
        <f>'Grönsak från frö 2'!F64</f>
        <v>0</v>
      </c>
      <c r="I127" s="249" t="s">
        <v>57</v>
      </c>
      <c r="J127" s="275">
        <f t="shared" si="33"/>
        <v>0</v>
      </c>
      <c r="K127" s="340" t="s">
        <v>145</v>
      </c>
    </row>
    <row r="128" spans="2:11" ht="21" x14ac:dyDescent="0.4">
      <c r="B128" s="333"/>
      <c r="C128" s="249" t="s">
        <v>168</v>
      </c>
      <c r="D128" s="246"/>
      <c r="E128" s="246"/>
      <c r="F128" s="249">
        <f t="shared" si="29"/>
        <v>0</v>
      </c>
      <c r="G128" s="249" t="s">
        <v>7</v>
      </c>
      <c r="H128" s="275">
        <f>'Grönsak planterad 1'!F64</f>
        <v>0</v>
      </c>
      <c r="I128" s="249" t="s">
        <v>57</v>
      </c>
      <c r="J128" s="275">
        <f t="shared" si="33"/>
        <v>0</v>
      </c>
      <c r="K128" s="340" t="s">
        <v>145</v>
      </c>
    </row>
    <row r="129" spans="2:11" ht="21" x14ac:dyDescent="0.4">
      <c r="B129" s="333"/>
      <c r="C129" s="249" t="s">
        <v>169</v>
      </c>
      <c r="D129" s="246"/>
      <c r="E129" s="246"/>
      <c r="F129" s="249">
        <f t="shared" si="29"/>
        <v>0</v>
      </c>
      <c r="G129" s="249" t="s">
        <v>7</v>
      </c>
      <c r="H129" s="275">
        <f>'Grönsak planterad 2'!F62</f>
        <v>0</v>
      </c>
      <c r="I129" s="249" t="s">
        <v>57</v>
      </c>
      <c r="J129" s="275">
        <f t="shared" si="33"/>
        <v>0</v>
      </c>
      <c r="K129" s="340" t="s">
        <v>145</v>
      </c>
    </row>
    <row r="130" spans="2:11" ht="21" x14ac:dyDescent="0.4">
      <c r="B130" s="333"/>
      <c r="C130" s="249" t="s">
        <v>170</v>
      </c>
      <c r="D130" s="246"/>
      <c r="E130" s="246"/>
      <c r="F130" s="249">
        <f t="shared" si="29"/>
        <v>0</v>
      </c>
      <c r="G130" s="249" t="s">
        <v>7</v>
      </c>
      <c r="H130" s="275">
        <f>'Grönsak planterad 3'!F64</f>
        <v>0</v>
      </c>
      <c r="I130" s="249" t="s">
        <v>57</v>
      </c>
      <c r="J130" s="275">
        <f t="shared" si="33"/>
        <v>0</v>
      </c>
      <c r="K130" s="340" t="s">
        <v>145</v>
      </c>
    </row>
    <row r="131" spans="2:11" ht="17.399999999999999" x14ac:dyDescent="0.3">
      <c r="B131" s="343"/>
      <c r="C131" s="249" t="s">
        <v>171</v>
      </c>
      <c r="D131" s="246"/>
      <c r="E131" s="246"/>
      <c r="F131" s="249">
        <f t="shared" si="29"/>
        <v>3</v>
      </c>
      <c r="G131" s="249" t="s">
        <v>7</v>
      </c>
      <c r="H131" s="275">
        <f>'Jordgubbe friland'!F99</f>
        <v>19268.260128586036</v>
      </c>
      <c r="I131" s="249" t="s">
        <v>57</v>
      </c>
      <c r="J131" s="275">
        <f t="shared" si="31"/>
        <v>57804.780385758109</v>
      </c>
      <c r="K131" s="340" t="s">
        <v>145</v>
      </c>
    </row>
    <row r="132" spans="2:11" ht="17.399999999999999" x14ac:dyDescent="0.3">
      <c r="B132" s="343"/>
      <c r="C132" s="249" t="s">
        <v>172</v>
      </c>
      <c r="D132" s="246"/>
      <c r="E132" s="246"/>
      <c r="F132" s="249">
        <f t="shared" si="29"/>
        <v>0</v>
      </c>
      <c r="G132" s="249" t="s">
        <v>7</v>
      </c>
      <c r="H132" s="275">
        <f>'Jordgubbe tunnel'!F66</f>
        <v>0</v>
      </c>
      <c r="I132" s="249" t="s">
        <v>57</v>
      </c>
      <c r="J132" s="275">
        <f t="shared" si="31"/>
        <v>0</v>
      </c>
      <c r="K132" s="340" t="s">
        <v>145</v>
      </c>
    </row>
    <row r="133" spans="2:11" ht="17.399999999999999" x14ac:dyDescent="0.3">
      <c r="B133" s="343"/>
      <c r="C133" s="249" t="s">
        <v>173</v>
      </c>
      <c r="D133" s="246"/>
      <c r="E133" s="246"/>
      <c r="F133" s="249">
        <f t="shared" si="29"/>
        <v>0</v>
      </c>
      <c r="G133" s="249" t="s">
        <v>7</v>
      </c>
      <c r="H133" s="275">
        <f>'Hallon friland'!F97</f>
        <v>0</v>
      </c>
      <c r="I133" s="249" t="s">
        <v>57</v>
      </c>
      <c r="J133" s="275">
        <f t="shared" si="31"/>
        <v>0</v>
      </c>
      <c r="K133" s="340" t="s">
        <v>145</v>
      </c>
    </row>
    <row r="134" spans="2:11" ht="17.399999999999999" x14ac:dyDescent="0.3">
      <c r="B134" s="343"/>
      <c r="C134" s="249" t="s">
        <v>174</v>
      </c>
      <c r="D134" s="246"/>
      <c r="E134" s="246"/>
      <c r="F134" s="249">
        <f t="shared" si="29"/>
        <v>0</v>
      </c>
      <c r="G134" s="249" t="s">
        <v>7</v>
      </c>
      <c r="H134" s="275">
        <f>'Hallon tunnel'!F65</f>
        <v>0</v>
      </c>
      <c r="I134" s="249" t="s">
        <v>57</v>
      </c>
      <c r="J134" s="275">
        <f t="shared" si="31"/>
        <v>0</v>
      </c>
      <c r="K134" s="340" t="s">
        <v>145</v>
      </c>
    </row>
    <row r="135" spans="2:11" ht="17.399999999999999" x14ac:dyDescent="0.3">
      <c r="B135" s="343"/>
      <c r="C135" s="249" t="s">
        <v>175</v>
      </c>
      <c r="D135" s="246"/>
      <c r="E135" s="246"/>
      <c r="F135" s="249">
        <f t="shared" si="29"/>
        <v>0</v>
      </c>
      <c r="G135" s="249" t="s">
        <v>7</v>
      </c>
      <c r="H135" s="275">
        <f>'Svarta vinbär'!F97</f>
        <v>0</v>
      </c>
      <c r="I135" s="249" t="s">
        <v>57</v>
      </c>
      <c r="J135" s="275">
        <f t="shared" si="31"/>
        <v>0</v>
      </c>
      <c r="K135" s="340" t="s">
        <v>145</v>
      </c>
    </row>
    <row r="136" spans="2:11" ht="17.399999999999999" x14ac:dyDescent="0.3">
      <c r="B136" s="343"/>
      <c r="C136" s="249" t="s">
        <v>176</v>
      </c>
      <c r="D136" s="246"/>
      <c r="E136" s="246"/>
      <c r="F136" s="249">
        <f t="shared" si="29"/>
        <v>0</v>
      </c>
      <c r="G136" s="249" t="s">
        <v>7</v>
      </c>
      <c r="H136" s="275">
        <f>Buskblåbär!F100</f>
        <v>0</v>
      </c>
      <c r="I136" s="249" t="s">
        <v>57</v>
      </c>
      <c r="J136" s="275">
        <f t="shared" si="31"/>
        <v>0</v>
      </c>
      <c r="K136" s="340" t="s">
        <v>145</v>
      </c>
    </row>
    <row r="137" spans="2:11" ht="17.399999999999999" x14ac:dyDescent="0.3">
      <c r="B137" s="343"/>
      <c r="C137" s="249" t="s">
        <v>177</v>
      </c>
      <c r="D137" s="246"/>
      <c r="E137" s="246"/>
      <c r="F137" s="249">
        <f t="shared" si="29"/>
        <v>5</v>
      </c>
      <c r="G137" s="249" t="s">
        <v>7</v>
      </c>
      <c r="H137" s="275">
        <f>Äpple!F100</f>
        <v>47234.584029869387</v>
      </c>
      <c r="I137" s="249" t="s">
        <v>57</v>
      </c>
      <c r="J137" s="275">
        <f t="shared" si="31"/>
        <v>236172.92014934693</v>
      </c>
      <c r="K137" s="340" t="s">
        <v>145</v>
      </c>
    </row>
    <row r="138" spans="2:11" ht="17.399999999999999" x14ac:dyDescent="0.3">
      <c r="B138" s="343"/>
      <c r="C138" s="249" t="s">
        <v>178</v>
      </c>
      <c r="D138" s="246"/>
      <c r="E138" s="246"/>
      <c r="F138" s="249">
        <f t="shared" si="29"/>
        <v>0</v>
      </c>
      <c r="G138" s="249" t="s">
        <v>7</v>
      </c>
      <c r="H138" s="275">
        <f>Havre!F62</f>
        <v>0</v>
      </c>
      <c r="I138" s="249" t="s">
        <v>57</v>
      </c>
      <c r="J138" s="275">
        <f t="shared" si="31"/>
        <v>0</v>
      </c>
      <c r="K138" s="340" t="s">
        <v>145</v>
      </c>
    </row>
    <row r="139" spans="2:11" ht="17.399999999999999" x14ac:dyDescent="0.3">
      <c r="B139" s="343"/>
      <c r="C139" s="249" t="s">
        <v>179</v>
      </c>
      <c r="D139" s="246"/>
      <c r="E139" s="246"/>
      <c r="F139" s="249">
        <f t="shared" si="29"/>
        <v>0</v>
      </c>
      <c r="G139" s="249" t="s">
        <v>7</v>
      </c>
      <c r="H139" s="275">
        <f>Korn!F62</f>
        <v>0</v>
      </c>
      <c r="I139" s="249" t="s">
        <v>57</v>
      </c>
      <c r="J139" s="275">
        <f t="shared" si="31"/>
        <v>0</v>
      </c>
      <c r="K139" s="340" t="s">
        <v>145</v>
      </c>
    </row>
    <row r="140" spans="2:11" ht="17.399999999999999" x14ac:dyDescent="0.3">
      <c r="B140" s="343"/>
      <c r="C140" s="249" t="s">
        <v>180</v>
      </c>
      <c r="D140" s="246"/>
      <c r="E140" s="246"/>
      <c r="F140" s="249">
        <f t="shared" si="29"/>
        <v>0</v>
      </c>
      <c r="G140" s="249" t="s">
        <v>7</v>
      </c>
      <c r="H140" s="275">
        <f>Vete!F62</f>
        <v>0</v>
      </c>
      <c r="I140" s="249" t="s">
        <v>57</v>
      </c>
      <c r="J140" s="275">
        <f t="shared" si="31"/>
        <v>0</v>
      </c>
      <c r="K140" s="340" t="s">
        <v>145</v>
      </c>
    </row>
    <row r="141" spans="2:11" ht="17.399999999999999" x14ac:dyDescent="0.3">
      <c r="B141" s="343"/>
      <c r="C141" s="249" t="s">
        <v>181</v>
      </c>
      <c r="D141" s="246"/>
      <c r="E141" s="246"/>
      <c r="F141" s="249">
        <f t="shared" si="29"/>
        <v>0</v>
      </c>
      <c r="G141" s="249" t="s">
        <v>7</v>
      </c>
      <c r="H141" s="275">
        <f>Höstråg!F62</f>
        <v>0</v>
      </c>
      <c r="I141" s="249" t="s">
        <v>57</v>
      </c>
      <c r="J141" s="275">
        <f t="shared" ref="J141" si="34">F141*H141</f>
        <v>0</v>
      </c>
      <c r="K141" s="340" t="s">
        <v>145</v>
      </c>
    </row>
    <row r="142" spans="2:11" ht="17.399999999999999" x14ac:dyDescent="0.3">
      <c r="B142" s="343"/>
      <c r="C142" s="249" t="s">
        <v>182</v>
      </c>
      <c r="D142" s="246"/>
      <c r="E142" s="246"/>
      <c r="F142" s="249">
        <f t="shared" si="29"/>
        <v>0</v>
      </c>
      <c r="G142" s="249" t="s">
        <v>7</v>
      </c>
      <c r="H142" s="275">
        <f>Naturvårdsåker!F62</f>
        <v>0</v>
      </c>
      <c r="I142" s="249" t="s">
        <v>57</v>
      </c>
      <c r="J142" s="275">
        <f t="shared" si="31"/>
        <v>0</v>
      </c>
      <c r="K142" s="340" t="s">
        <v>145</v>
      </c>
    </row>
    <row r="143" spans="2:11" ht="17.399999999999999" x14ac:dyDescent="0.3">
      <c r="B143" s="343"/>
      <c r="C143" s="249" t="s">
        <v>183</v>
      </c>
      <c r="D143" s="246"/>
      <c r="E143" s="246"/>
      <c r="F143" s="249">
        <f t="shared" si="29"/>
        <v>0</v>
      </c>
      <c r="G143" s="249" t="s">
        <v>7</v>
      </c>
      <c r="H143" s="275">
        <f>Vall!F62</f>
        <v>0</v>
      </c>
      <c r="I143" s="249" t="s">
        <v>57</v>
      </c>
      <c r="J143" s="275">
        <f t="shared" si="31"/>
        <v>0</v>
      </c>
      <c r="K143" s="340" t="s">
        <v>145</v>
      </c>
    </row>
    <row r="144" spans="2:11" ht="21" x14ac:dyDescent="0.4">
      <c r="B144" s="345" t="s">
        <v>197</v>
      </c>
      <c r="C144" s="346"/>
      <c r="D144" s="346"/>
      <c r="E144" s="346"/>
      <c r="F144" s="346"/>
      <c r="G144" s="346"/>
      <c r="H144" s="347"/>
      <c r="I144" s="346"/>
      <c r="J144" s="347">
        <f>SUM(J121:J143)</f>
        <v>662068.050816459</v>
      </c>
      <c r="K144" s="348" t="s">
        <v>145</v>
      </c>
    </row>
    <row r="145" spans="2:11" s="302" customFormat="1" x14ac:dyDescent="0.25">
      <c r="B145" s="343"/>
      <c r="C145" s="246"/>
      <c r="D145" s="246"/>
      <c r="E145" s="246"/>
      <c r="F145" s="246"/>
      <c r="G145" s="246"/>
      <c r="H145" s="246"/>
      <c r="I145" s="246"/>
      <c r="J145" s="246"/>
      <c r="K145" s="338"/>
    </row>
    <row r="146" spans="2:11" ht="21" x14ac:dyDescent="0.4">
      <c r="B146" s="1062" t="s">
        <v>198</v>
      </c>
      <c r="C146" s="1063"/>
      <c r="D146" s="1063"/>
      <c r="E146" s="246"/>
      <c r="F146" s="246"/>
      <c r="G146" s="246"/>
      <c r="H146" s="246"/>
      <c r="I146" s="246"/>
      <c r="J146" s="246"/>
      <c r="K146" s="338"/>
    </row>
    <row r="147" spans="2:11" ht="21" x14ac:dyDescent="0.4">
      <c r="B147" s="333"/>
      <c r="C147" s="249" t="s">
        <v>160</v>
      </c>
      <c r="D147" s="246"/>
      <c r="E147" s="246"/>
      <c r="F147" s="249">
        <f t="shared" ref="F147:F168" si="35">F93</f>
        <v>10</v>
      </c>
      <c r="G147" s="249" t="s">
        <v>7</v>
      </c>
      <c r="H147" s="275">
        <f>Matpotatis!F66</f>
        <v>-1150.9954964539002</v>
      </c>
      <c r="I147" s="249" t="s">
        <v>57</v>
      </c>
      <c r="J147" s="275">
        <f t="shared" ref="J147" si="36">F147*H147</f>
        <v>-11509.954964539002</v>
      </c>
      <c r="K147" s="340" t="s">
        <v>145</v>
      </c>
    </row>
    <row r="148" spans="2:11" ht="21" x14ac:dyDescent="0.4">
      <c r="B148" s="333"/>
      <c r="C148" s="249" t="s">
        <v>161</v>
      </c>
      <c r="D148" s="246"/>
      <c r="E148" s="246"/>
      <c r="F148" s="249">
        <f t="shared" si="35"/>
        <v>10</v>
      </c>
      <c r="G148" s="249" t="s">
        <v>7</v>
      </c>
      <c r="H148" s="275">
        <f>Morot!F66</f>
        <v>31488.482926969518</v>
      </c>
      <c r="I148" s="249" t="s">
        <v>57</v>
      </c>
      <c r="J148" s="275">
        <f t="shared" ref="J148:J150" si="37">F148*H148</f>
        <v>314884.82926969521</v>
      </c>
      <c r="K148" s="340" t="s">
        <v>145</v>
      </c>
    </row>
    <row r="149" spans="2:11" ht="21" x14ac:dyDescent="0.4">
      <c r="B149" s="333"/>
      <c r="C149" s="249" t="s">
        <v>162</v>
      </c>
      <c r="D149" s="246"/>
      <c r="E149" s="246"/>
      <c r="F149" s="249">
        <f t="shared" si="35"/>
        <v>10</v>
      </c>
      <c r="G149" s="249" t="s">
        <v>7</v>
      </c>
      <c r="H149" s="275">
        <f>Kål!F67</f>
        <v>25328.666260302856</v>
      </c>
      <c r="I149" s="249" t="s">
        <v>57</v>
      </c>
      <c r="J149" s="275">
        <f t="shared" si="37"/>
        <v>253286.66260302856</v>
      </c>
      <c r="K149" s="340" t="s">
        <v>145</v>
      </c>
    </row>
    <row r="150" spans="2:11" ht="21" x14ac:dyDescent="0.4">
      <c r="B150" s="333"/>
      <c r="C150" s="249" t="s">
        <v>163</v>
      </c>
      <c r="D150" s="246"/>
      <c r="E150" s="246"/>
      <c r="F150" s="249">
        <f t="shared" si="35"/>
        <v>2</v>
      </c>
      <c r="G150" s="249" t="s">
        <v>7</v>
      </c>
      <c r="H150" s="275">
        <f>Lök!F66</f>
        <v>14202.599246789341</v>
      </c>
      <c r="I150" s="249" t="s">
        <v>57</v>
      </c>
      <c r="J150" s="275">
        <f t="shared" si="37"/>
        <v>28405.198493578682</v>
      </c>
      <c r="K150" s="340" t="s">
        <v>145</v>
      </c>
    </row>
    <row r="151" spans="2:11" ht="21" x14ac:dyDescent="0.4">
      <c r="B151" s="333"/>
      <c r="C151" s="249" t="s">
        <v>164</v>
      </c>
      <c r="D151" s="246"/>
      <c r="E151" s="246"/>
      <c r="F151" s="249">
        <f t="shared" si="35"/>
        <v>5</v>
      </c>
      <c r="G151" s="249" t="s">
        <v>7</v>
      </c>
      <c r="H151" s="275">
        <f>Sättlök!F66</f>
        <v>13476.177949779569</v>
      </c>
      <c r="I151" s="249" t="s">
        <v>57</v>
      </c>
      <c r="J151" s="275">
        <f>Sättlök!J66</f>
        <v>67380.88974889784</v>
      </c>
      <c r="K151" s="340" t="s">
        <v>145</v>
      </c>
    </row>
    <row r="152" spans="2:11" ht="21" x14ac:dyDescent="0.4">
      <c r="B152" s="333"/>
      <c r="C152" s="249" t="s">
        <v>165</v>
      </c>
      <c r="D152" s="246"/>
      <c r="E152" s="246"/>
      <c r="F152" s="249">
        <f t="shared" si="35"/>
        <v>2</v>
      </c>
      <c r="G152" s="249" t="s">
        <v>7</v>
      </c>
      <c r="H152" s="275">
        <f>Trädgårdsärt!F66</f>
        <v>1575.984801722876</v>
      </c>
      <c r="I152" s="249" t="s">
        <v>57</v>
      </c>
      <c r="J152" s="275">
        <f t="shared" ref="J152" si="38">F152*H152</f>
        <v>3151.969603445752</v>
      </c>
      <c r="K152" s="340" t="s">
        <v>145</v>
      </c>
    </row>
    <row r="153" spans="2:11" ht="21" x14ac:dyDescent="0.4">
      <c r="B153" s="333"/>
      <c r="C153" s="249" t="s">
        <v>166</v>
      </c>
      <c r="D153" s="246"/>
      <c r="E153" s="246"/>
      <c r="F153" s="249">
        <f t="shared" si="35"/>
        <v>0</v>
      </c>
      <c r="G153" s="249" t="s">
        <v>7</v>
      </c>
      <c r="H153" s="275">
        <f>'Grönsak från frö 1'!F66</f>
        <v>0</v>
      </c>
      <c r="I153" s="249" t="s">
        <v>57</v>
      </c>
      <c r="J153" s="275">
        <f t="shared" ref="J153:J157" si="39">F153*H153</f>
        <v>0</v>
      </c>
      <c r="K153" s="340" t="s">
        <v>145</v>
      </c>
    </row>
    <row r="154" spans="2:11" ht="21" x14ac:dyDescent="0.4">
      <c r="B154" s="333"/>
      <c r="C154" s="249" t="s">
        <v>167</v>
      </c>
      <c r="D154" s="246"/>
      <c r="E154" s="246"/>
      <c r="F154" s="249">
        <f t="shared" si="35"/>
        <v>0</v>
      </c>
      <c r="G154" s="249" t="s">
        <v>7</v>
      </c>
      <c r="H154" s="275">
        <f>'Grönsak från frö 2'!F66</f>
        <v>0</v>
      </c>
      <c r="I154" s="249" t="s">
        <v>57</v>
      </c>
      <c r="J154" s="275">
        <f t="shared" si="39"/>
        <v>0</v>
      </c>
      <c r="K154" s="340" t="s">
        <v>145</v>
      </c>
    </row>
    <row r="155" spans="2:11" ht="21" x14ac:dyDescent="0.4">
      <c r="B155" s="333"/>
      <c r="C155" s="249" t="s">
        <v>168</v>
      </c>
      <c r="D155" s="246"/>
      <c r="E155" s="246"/>
      <c r="F155" s="249">
        <f t="shared" si="35"/>
        <v>0</v>
      </c>
      <c r="G155" s="249" t="s">
        <v>7</v>
      </c>
      <c r="H155" s="275">
        <f>'Grönsak planterad 1'!F66</f>
        <v>0</v>
      </c>
      <c r="I155" s="249" t="s">
        <v>57</v>
      </c>
      <c r="J155" s="275">
        <f t="shared" si="39"/>
        <v>0</v>
      </c>
      <c r="K155" s="340" t="s">
        <v>145</v>
      </c>
    </row>
    <row r="156" spans="2:11" ht="21" x14ac:dyDescent="0.4">
      <c r="B156" s="333"/>
      <c r="C156" s="249" t="s">
        <v>169</v>
      </c>
      <c r="D156" s="246"/>
      <c r="E156" s="246"/>
      <c r="F156" s="249">
        <f t="shared" si="35"/>
        <v>0</v>
      </c>
      <c r="G156" s="249" t="s">
        <v>7</v>
      </c>
      <c r="H156" s="275">
        <f>'Grönsak planterad 2'!F66</f>
        <v>0</v>
      </c>
      <c r="I156" s="249" t="s">
        <v>57</v>
      </c>
      <c r="J156" s="275">
        <f t="shared" si="39"/>
        <v>0</v>
      </c>
      <c r="K156" s="340" t="s">
        <v>145</v>
      </c>
    </row>
    <row r="157" spans="2:11" ht="21" x14ac:dyDescent="0.4">
      <c r="B157" s="333"/>
      <c r="C157" s="249" t="s">
        <v>170</v>
      </c>
      <c r="D157" s="246"/>
      <c r="E157" s="246"/>
      <c r="F157" s="249">
        <f t="shared" si="35"/>
        <v>0</v>
      </c>
      <c r="G157" s="249" t="s">
        <v>7</v>
      </c>
      <c r="H157" s="275">
        <f>'Grönsak planterad 3'!F66</f>
        <v>0</v>
      </c>
      <c r="I157" s="249" t="s">
        <v>57</v>
      </c>
      <c r="J157" s="275">
        <f t="shared" si="39"/>
        <v>0</v>
      </c>
      <c r="K157" s="340" t="s">
        <v>145</v>
      </c>
    </row>
    <row r="158" spans="2:11" ht="17.399999999999999" x14ac:dyDescent="0.3">
      <c r="B158" s="343"/>
      <c r="C158" s="249" t="s">
        <v>171</v>
      </c>
      <c r="D158" s="246"/>
      <c r="E158" s="246"/>
      <c r="F158" s="249">
        <f t="shared" si="35"/>
        <v>3</v>
      </c>
      <c r="G158" s="249" t="s">
        <v>7</v>
      </c>
      <c r="H158" s="275">
        <f>IF(F158&gt;0,'Jordgubbe friland'!F101,0)</f>
        <v>3447.4398714139638</v>
      </c>
      <c r="I158" s="249" t="s">
        <v>57</v>
      </c>
      <c r="J158" s="275">
        <f>F158*H158</f>
        <v>10342.319614241891</v>
      </c>
      <c r="K158" s="340" t="s">
        <v>145</v>
      </c>
    </row>
    <row r="159" spans="2:11" ht="17.399999999999999" x14ac:dyDescent="0.3">
      <c r="B159" s="343"/>
      <c r="C159" s="249" t="s">
        <v>172</v>
      </c>
      <c r="D159" s="246"/>
      <c r="E159" s="246"/>
      <c r="F159" s="249">
        <f t="shared" si="35"/>
        <v>0</v>
      </c>
      <c r="G159" s="249" t="s">
        <v>7</v>
      </c>
      <c r="H159" s="275">
        <f>'Jordgubbe tunnel'!F68</f>
        <v>0</v>
      </c>
      <c r="I159" s="249" t="s">
        <v>57</v>
      </c>
      <c r="J159" s="275">
        <f t="shared" ref="J159:J170" si="40">F159*H159</f>
        <v>0</v>
      </c>
      <c r="K159" s="340" t="s">
        <v>145</v>
      </c>
    </row>
    <row r="160" spans="2:11" ht="17.399999999999999" x14ac:dyDescent="0.3">
      <c r="B160" s="343"/>
      <c r="C160" s="249" t="s">
        <v>173</v>
      </c>
      <c r="D160" s="246"/>
      <c r="E160" s="246"/>
      <c r="F160" s="249">
        <f t="shared" si="35"/>
        <v>0</v>
      </c>
      <c r="G160" s="249" t="s">
        <v>7</v>
      </c>
      <c r="H160" s="275">
        <f>'Hallon friland'!F99</f>
        <v>0</v>
      </c>
      <c r="I160" s="249" t="s">
        <v>57</v>
      </c>
      <c r="J160" s="275">
        <f t="shared" si="40"/>
        <v>0</v>
      </c>
      <c r="K160" s="340" t="s">
        <v>145</v>
      </c>
    </row>
    <row r="161" spans="2:11" ht="17.399999999999999" x14ac:dyDescent="0.3">
      <c r="B161" s="343"/>
      <c r="C161" s="249" t="s">
        <v>174</v>
      </c>
      <c r="D161" s="246"/>
      <c r="E161" s="246"/>
      <c r="F161" s="249">
        <f t="shared" si="35"/>
        <v>0</v>
      </c>
      <c r="G161" s="249" t="s">
        <v>7</v>
      </c>
      <c r="H161" s="275">
        <f>IF(F161&gt;0,'Hallon tunnel'!F67,0)</f>
        <v>0</v>
      </c>
      <c r="I161" s="249" t="s">
        <v>57</v>
      </c>
      <c r="J161" s="275">
        <f t="shared" si="40"/>
        <v>0</v>
      </c>
      <c r="K161" s="340" t="s">
        <v>145</v>
      </c>
    </row>
    <row r="162" spans="2:11" ht="17.399999999999999" x14ac:dyDescent="0.3">
      <c r="B162" s="343"/>
      <c r="C162" s="249" t="s">
        <v>175</v>
      </c>
      <c r="D162" s="246"/>
      <c r="E162" s="246"/>
      <c r="F162" s="249">
        <f t="shared" si="35"/>
        <v>0</v>
      </c>
      <c r="G162" s="249" t="s">
        <v>7</v>
      </c>
      <c r="H162" s="275">
        <f>IF(F162&gt;0,'Svarta vinbär'!F99,0)</f>
        <v>0</v>
      </c>
      <c r="I162" s="249" t="s">
        <v>57</v>
      </c>
      <c r="J162" s="275">
        <f t="shared" si="40"/>
        <v>0</v>
      </c>
      <c r="K162" s="340" t="s">
        <v>145</v>
      </c>
    </row>
    <row r="163" spans="2:11" ht="17.399999999999999" x14ac:dyDescent="0.3">
      <c r="B163" s="343"/>
      <c r="C163" s="249" t="s">
        <v>176</v>
      </c>
      <c r="D163" s="246"/>
      <c r="E163" s="246"/>
      <c r="F163" s="249">
        <f t="shared" si="35"/>
        <v>0</v>
      </c>
      <c r="G163" s="249" t="s">
        <v>7</v>
      </c>
      <c r="H163" s="275">
        <f>IF(F163&gt;0,Buskblåbär!F102,0)</f>
        <v>0</v>
      </c>
      <c r="I163" s="249" t="s">
        <v>57</v>
      </c>
      <c r="J163" s="275">
        <f t="shared" si="40"/>
        <v>0</v>
      </c>
      <c r="K163" s="340" t="s">
        <v>145</v>
      </c>
    </row>
    <row r="164" spans="2:11" ht="17.399999999999999" x14ac:dyDescent="0.3">
      <c r="B164" s="343"/>
      <c r="C164" s="249" t="s">
        <v>177</v>
      </c>
      <c r="D164" s="246"/>
      <c r="E164" s="246"/>
      <c r="F164" s="249">
        <f t="shared" si="35"/>
        <v>5</v>
      </c>
      <c r="G164" s="249" t="s">
        <v>7</v>
      </c>
      <c r="H164" s="275">
        <f>Äpple!F102</f>
        <v>-22974.150696536053</v>
      </c>
      <c r="I164" s="249" t="s">
        <v>57</v>
      </c>
      <c r="J164" s="275">
        <f t="shared" si="40"/>
        <v>-114870.75348268027</v>
      </c>
      <c r="K164" s="340" t="s">
        <v>145</v>
      </c>
    </row>
    <row r="165" spans="2:11" ht="17.399999999999999" x14ac:dyDescent="0.3">
      <c r="B165" s="343"/>
      <c r="C165" s="249" t="s">
        <v>178</v>
      </c>
      <c r="D165" s="246"/>
      <c r="E165" s="246"/>
      <c r="F165" s="249">
        <f t="shared" si="35"/>
        <v>0</v>
      </c>
      <c r="G165" s="249" t="s">
        <v>7</v>
      </c>
      <c r="H165" s="275">
        <f>IF(F165&gt;0,Havre!F64,0)</f>
        <v>0</v>
      </c>
      <c r="I165" s="249" t="s">
        <v>57</v>
      </c>
      <c r="J165" s="275">
        <f t="shared" si="40"/>
        <v>0</v>
      </c>
      <c r="K165" s="340" t="s">
        <v>145</v>
      </c>
    </row>
    <row r="166" spans="2:11" ht="17.399999999999999" x14ac:dyDescent="0.3">
      <c r="B166" s="343"/>
      <c r="C166" s="249" t="s">
        <v>179</v>
      </c>
      <c r="D166" s="246"/>
      <c r="E166" s="246"/>
      <c r="F166" s="249">
        <f t="shared" si="35"/>
        <v>0</v>
      </c>
      <c r="G166" s="249" t="s">
        <v>7</v>
      </c>
      <c r="H166" s="275">
        <f>IF(F166&gt;0,Korn!F64,0)</f>
        <v>0</v>
      </c>
      <c r="I166" s="249" t="s">
        <v>57</v>
      </c>
      <c r="J166" s="275">
        <f t="shared" ref="J166:J167" si="41">F166*H166</f>
        <v>0</v>
      </c>
      <c r="K166" s="340" t="s">
        <v>145</v>
      </c>
    </row>
    <row r="167" spans="2:11" ht="17.399999999999999" x14ac:dyDescent="0.3">
      <c r="B167" s="343"/>
      <c r="C167" s="249" t="s">
        <v>180</v>
      </c>
      <c r="D167" s="246"/>
      <c r="E167" s="246"/>
      <c r="F167" s="249">
        <f t="shared" si="35"/>
        <v>0</v>
      </c>
      <c r="G167" s="249" t="s">
        <v>7</v>
      </c>
      <c r="H167" s="275">
        <f>IF(F167&gt;0,Vete!F64,0)</f>
        <v>0</v>
      </c>
      <c r="I167" s="249" t="s">
        <v>57</v>
      </c>
      <c r="J167" s="275">
        <f t="shared" si="41"/>
        <v>0</v>
      </c>
      <c r="K167" s="340" t="s">
        <v>145</v>
      </c>
    </row>
    <row r="168" spans="2:11" ht="17.399999999999999" x14ac:dyDescent="0.3">
      <c r="B168" s="343"/>
      <c r="C168" s="249" t="s">
        <v>181</v>
      </c>
      <c r="D168" s="246"/>
      <c r="E168" s="246"/>
      <c r="F168" s="249">
        <f t="shared" si="35"/>
        <v>0</v>
      </c>
      <c r="G168" s="249" t="s">
        <v>7</v>
      </c>
      <c r="H168" s="275">
        <f>Höstråg!F64</f>
        <v>0</v>
      </c>
      <c r="I168" s="249" t="s">
        <v>57</v>
      </c>
      <c r="J168" s="275">
        <f t="shared" ref="J168" si="42">F168*H168</f>
        <v>0</v>
      </c>
      <c r="K168" s="340" t="s">
        <v>145</v>
      </c>
    </row>
    <row r="169" spans="2:11" ht="17.399999999999999" x14ac:dyDescent="0.3">
      <c r="B169" s="343"/>
      <c r="C169" s="249" t="s">
        <v>182</v>
      </c>
      <c r="D169" s="246"/>
      <c r="E169" s="246"/>
      <c r="F169" s="249">
        <f t="shared" ref="F169:F170" si="43">F115</f>
        <v>0</v>
      </c>
      <c r="G169" s="249" t="s">
        <v>7</v>
      </c>
      <c r="H169" s="275">
        <f>IF(F169&gt;0,Naturvårdsåker!F64,0)</f>
        <v>0</v>
      </c>
      <c r="I169" s="249" t="s">
        <v>57</v>
      </c>
      <c r="J169" s="275">
        <f t="shared" si="40"/>
        <v>0</v>
      </c>
      <c r="K169" s="340" t="s">
        <v>145</v>
      </c>
    </row>
    <row r="170" spans="2:11" ht="17.399999999999999" x14ac:dyDescent="0.3">
      <c r="B170" s="343"/>
      <c r="C170" s="249" t="s">
        <v>183</v>
      </c>
      <c r="D170" s="246"/>
      <c r="E170" s="246"/>
      <c r="F170" s="249">
        <f t="shared" si="43"/>
        <v>0</v>
      </c>
      <c r="G170" s="249" t="s">
        <v>7</v>
      </c>
      <c r="H170" s="275">
        <f>Vall!F64</f>
        <v>0</v>
      </c>
      <c r="I170" s="249" t="s">
        <v>57</v>
      </c>
      <c r="J170" s="275">
        <f t="shared" si="40"/>
        <v>0</v>
      </c>
      <c r="K170" s="340" t="s">
        <v>145</v>
      </c>
    </row>
    <row r="171" spans="2:11" ht="21.6" customHeight="1" thickBot="1" x14ac:dyDescent="0.45">
      <c r="B171" s="1059" t="s">
        <v>199</v>
      </c>
      <c r="C171" s="1060"/>
      <c r="D171" s="1060"/>
      <c r="E171" s="1060"/>
      <c r="F171" s="1060"/>
      <c r="G171" s="1060"/>
      <c r="H171" s="351"/>
      <c r="I171" s="351"/>
      <c r="J171" s="352">
        <f>SUM(J148:J170)</f>
        <v>562581.11585020775</v>
      </c>
      <c r="K171" s="353" t="s">
        <v>145</v>
      </c>
    </row>
  </sheetData>
  <mergeCells count="8">
    <mergeCell ref="B171:G171"/>
    <mergeCell ref="B90:F90"/>
    <mergeCell ref="B117:F117"/>
    <mergeCell ref="B146:D146"/>
    <mergeCell ref="B4:K4"/>
    <mergeCell ref="B63:F63"/>
    <mergeCell ref="B36:F36"/>
    <mergeCell ref="B119:E119"/>
  </mergeCells>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F08A-992B-4A11-BB06-36DAAE54B49E}">
  <sheetPr>
    <tabColor theme="2" tint="-0.499984740745262"/>
  </sheetPr>
  <dimension ref="A1:AD191"/>
  <sheetViews>
    <sheetView topLeftCell="A14" zoomScale="70" zoomScaleNormal="34" workbookViewId="0">
      <selection activeCell="B5" sqref="B5"/>
    </sheetView>
  </sheetViews>
  <sheetFormatPr defaultColWidth="11.44140625" defaultRowHeight="13.2" x14ac:dyDescent="0.25"/>
  <cols>
    <col min="1" max="1" width="5.33203125" style="547"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11.44140625" customWidth="1"/>
    <col min="12" max="12" width="20" customWidth="1"/>
    <col min="13" max="13" width="12.109375" customWidth="1"/>
    <col min="14" max="14" width="9.44140625" customWidth="1"/>
    <col min="15" max="15" width="8.6640625" customWidth="1"/>
    <col min="16" max="16" width="4.44140625" customWidth="1"/>
    <col min="17" max="17" width="15" customWidth="1"/>
    <col min="18" max="18" width="5.109375" customWidth="1"/>
    <col min="19" max="19" width="21" customWidth="1"/>
  </cols>
  <sheetData>
    <row r="1" spans="1:21" s="547" customFormat="1" ht="22.8" x14ac:dyDescent="0.4">
      <c r="B1" s="554" t="s">
        <v>200</v>
      </c>
    </row>
    <row r="2" spans="1:21" ht="27" customHeight="1" x14ac:dyDescent="0.3">
      <c r="B2" s="927" t="s">
        <v>201</v>
      </c>
      <c r="C2" s="927"/>
      <c r="F2" s="69"/>
      <c r="G2" s="69"/>
      <c r="H2" s="69"/>
    </row>
    <row r="3" spans="1:21" ht="27" customHeight="1" x14ac:dyDescent="0.3">
      <c r="B3" s="189"/>
      <c r="C3" s="189"/>
    </row>
    <row r="4" spans="1:21" ht="17.399999999999999" customHeight="1" x14ac:dyDescent="0.3">
      <c r="B4" s="924" t="s">
        <v>202</v>
      </c>
      <c r="C4" s="924"/>
      <c r="D4" s="924"/>
      <c r="E4" s="924"/>
      <c r="F4" s="924"/>
      <c r="G4" s="924"/>
      <c r="H4" s="924"/>
      <c r="I4" s="924"/>
      <c r="J4" s="924"/>
      <c r="K4" s="924"/>
      <c r="L4" s="924"/>
    </row>
    <row r="5" spans="1:21" ht="27" customHeight="1" thickBot="1" x14ac:dyDescent="0.35">
      <c r="B5" s="189"/>
      <c r="C5" s="189"/>
    </row>
    <row r="6" spans="1:21" ht="27" customHeight="1" x14ac:dyDescent="0.4">
      <c r="B6" s="256" t="s">
        <v>203</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IF('Gårdens info'!D9&gt;0,H9*'Gårdens info'!G9,0)</f>
        <v>6510</v>
      </c>
      <c r="G9" s="119" t="s">
        <v>57</v>
      </c>
      <c r="H9" s="508">
        <f>IF('Gårdens info'!G9&gt;0,(('Gårdens info'!D9*'Gårdens info'!G9*S10*T10)+('Gårdens info'!D9*'Gårdens info'!G9*S11*T11)+('Gårdens info'!D9*'Gårdens info'!G9*S12*T12)+('Gårdens info'!D9*'Gårdens info'!G9*S13*T13)+('Gårdens info'!D9*'Gårdens info'!G9*S14*T14)+('Gårdens info'!D9*'Gårdens info'!G9*S15*T15)+('Gårdens info'!D9*'Gårdens info'!G9*S16*T16)+('Gårdens info'!D9*'Gårdens info'!G9*S17*T17))/(('Gårdens info'!D9*'Gårdens info'!G9)),0)</f>
        <v>0.217</v>
      </c>
      <c r="I9" s="119" t="s">
        <v>206</v>
      </c>
      <c r="J9" s="229">
        <f>F9*'Gårdens info'!D9</f>
        <v>65100</v>
      </c>
      <c r="K9" s="119" t="s">
        <v>207</v>
      </c>
      <c r="L9" s="119"/>
      <c r="M9" s="226"/>
      <c r="N9" s="369"/>
      <c r="O9" s="1093" t="s">
        <v>208</v>
      </c>
      <c r="P9" s="1093"/>
      <c r="Q9" s="1093"/>
      <c r="R9" s="230"/>
      <c r="S9" s="925" t="s">
        <v>209</v>
      </c>
      <c r="T9" s="1086" t="s">
        <v>210</v>
      </c>
      <c r="U9" s="1087"/>
    </row>
    <row r="10" spans="1:21" ht="15.6" thickBot="1" x14ac:dyDescent="0.3">
      <c r="B10" s="227"/>
      <c r="C10" s="119" t="s">
        <v>211</v>
      </c>
      <c r="D10" s="119"/>
      <c r="E10" s="119"/>
      <c r="F10" s="229">
        <f>IF('Gårdens info'!D9&gt;0,Stöd!L14,0)</f>
        <v>459.1</v>
      </c>
      <c r="G10" s="119" t="s">
        <v>57</v>
      </c>
      <c r="H10" s="508">
        <f>IF('Gårdens info'!G9&gt;0,F10/'Gårdens info'!G9,0)</f>
        <v>1.5303333333333334E-2</v>
      </c>
      <c r="I10" s="119" t="s">
        <v>206</v>
      </c>
      <c r="J10" s="229">
        <f>F10*'Gårdens info'!D9</f>
        <v>4591</v>
      </c>
      <c r="K10" s="119" t="s">
        <v>207</v>
      </c>
      <c r="L10" s="119"/>
      <c r="M10" s="226"/>
      <c r="N10" s="369"/>
      <c r="O10" s="119">
        <v>2</v>
      </c>
      <c r="P10" s="119" t="s">
        <v>212</v>
      </c>
      <c r="Q10" s="119" t="s">
        <v>213</v>
      </c>
      <c r="R10" s="119"/>
      <c r="S10" s="377">
        <v>1</v>
      </c>
      <c r="T10" s="255">
        <v>0.217</v>
      </c>
      <c r="U10" s="239" t="s">
        <v>206</v>
      </c>
    </row>
    <row r="11" spans="1:21" s="5" customFormat="1" ht="21.6" thickBot="1" x14ac:dyDescent="0.45">
      <c r="A11" s="548"/>
      <c r="B11" s="1061" t="s">
        <v>214</v>
      </c>
      <c r="C11" s="1043"/>
      <c r="D11" s="1043"/>
      <c r="E11" s="262"/>
      <c r="F11" s="266">
        <f>F9+F10</f>
        <v>6969.1</v>
      </c>
      <c r="G11" s="267" t="s">
        <v>57</v>
      </c>
      <c r="H11" s="507">
        <f>H9+H10</f>
        <v>0.23230333333333333</v>
      </c>
      <c r="I11" s="267" t="s">
        <v>206</v>
      </c>
      <c r="J11" s="269">
        <f>J9+J10</f>
        <v>69691</v>
      </c>
      <c r="K11" s="267" t="s">
        <v>207</v>
      </c>
      <c r="L11" s="267"/>
      <c r="M11" s="259"/>
      <c r="N11" s="370"/>
      <c r="O11" s="119">
        <v>0.5</v>
      </c>
      <c r="P11" s="119" t="s">
        <v>212</v>
      </c>
      <c r="Q11" s="119" t="s">
        <v>213</v>
      </c>
      <c r="R11" s="119"/>
      <c r="S11" s="379">
        <v>0</v>
      </c>
      <c r="T11" s="255">
        <v>0.217</v>
      </c>
      <c r="U11" s="239" t="s">
        <v>206</v>
      </c>
    </row>
    <row r="12" spans="1:21" s="5" customFormat="1" ht="21.6" thickBot="1" x14ac:dyDescent="0.45">
      <c r="A12" s="548"/>
      <c r="B12" s="288"/>
      <c r="C12" s="270"/>
      <c r="D12" s="270"/>
      <c r="E12" s="262"/>
      <c r="F12" s="266"/>
      <c r="G12" s="267"/>
      <c r="H12" s="268"/>
      <c r="I12" s="267"/>
      <c r="J12" s="269"/>
      <c r="K12" s="267"/>
      <c r="L12" s="267"/>
      <c r="M12" s="259"/>
      <c r="N12" s="369"/>
      <c r="O12" s="119">
        <v>10</v>
      </c>
      <c r="P12" s="119" t="s">
        <v>212</v>
      </c>
      <c r="Q12" s="119" t="s">
        <v>215</v>
      </c>
      <c r="R12" s="119"/>
      <c r="S12" s="379">
        <v>0</v>
      </c>
      <c r="T12" s="255">
        <v>0.217</v>
      </c>
      <c r="U12" s="239" t="s">
        <v>206</v>
      </c>
    </row>
    <row r="13" spans="1:21" ht="22.2" customHeight="1" thickBot="1" x14ac:dyDescent="0.35">
      <c r="B13" s="231"/>
      <c r="C13" s="225"/>
      <c r="D13" s="116"/>
      <c r="E13" s="116"/>
      <c r="F13" s="116"/>
      <c r="G13" s="116"/>
      <c r="H13" s="116"/>
      <c r="I13" s="116"/>
      <c r="J13" s="232"/>
      <c r="K13" s="116"/>
      <c r="L13" s="116"/>
      <c r="M13" s="226"/>
      <c r="N13" s="369"/>
      <c r="O13" s="651">
        <f>D114</f>
        <v>0</v>
      </c>
      <c r="P13" s="119" t="s">
        <v>212</v>
      </c>
      <c r="Q13" s="652" t="s">
        <v>216</v>
      </c>
      <c r="R13" s="119"/>
      <c r="S13" s="379">
        <v>0</v>
      </c>
      <c r="T13" s="255"/>
      <c r="U13" s="239" t="s">
        <v>206</v>
      </c>
    </row>
    <row r="14" spans="1:21" ht="21.6" thickBot="1" x14ac:dyDescent="0.45">
      <c r="B14" s="257" t="s">
        <v>217</v>
      </c>
      <c r="C14" s="225"/>
      <c r="D14" s="116"/>
      <c r="E14" s="116"/>
      <c r="F14" s="116"/>
      <c r="G14" s="116"/>
      <c r="H14" s="116"/>
      <c r="I14" s="116"/>
      <c r="J14" s="232"/>
      <c r="K14" s="116"/>
      <c r="L14" s="116"/>
      <c r="M14" s="226"/>
      <c r="N14" s="369"/>
      <c r="O14" s="651">
        <f>D115</f>
        <v>0</v>
      </c>
      <c r="P14" s="119" t="s">
        <v>212</v>
      </c>
      <c r="Q14" s="652" t="s">
        <v>216</v>
      </c>
      <c r="R14" s="119"/>
      <c r="S14" s="379">
        <v>0</v>
      </c>
      <c r="T14" s="255"/>
      <c r="U14" s="239" t="s">
        <v>206</v>
      </c>
    </row>
    <row r="15" spans="1:21" s="56" customFormat="1" ht="16.95" customHeight="1" thickBot="1" x14ac:dyDescent="0.35">
      <c r="A15" s="549"/>
      <c r="B15" s="493"/>
      <c r="C15" s="245"/>
      <c r="D15" s="249"/>
      <c r="E15" s="249"/>
      <c r="F15" s="250"/>
      <c r="G15" s="120"/>
      <c r="H15" s="249"/>
      <c r="I15" s="249"/>
      <c r="J15" s="249"/>
      <c r="K15" s="249"/>
      <c r="L15" s="249"/>
      <c r="M15" s="234"/>
      <c r="N15" s="227"/>
      <c r="O15" s="651">
        <f t="shared" ref="O15:O16" si="0">D116</f>
        <v>0</v>
      </c>
      <c r="P15" s="119" t="s">
        <v>212</v>
      </c>
      <c r="Q15" s="652" t="s">
        <v>216</v>
      </c>
      <c r="R15" s="119"/>
      <c r="S15" s="379">
        <v>0</v>
      </c>
      <c r="T15" s="255"/>
      <c r="U15" s="239" t="s">
        <v>206</v>
      </c>
    </row>
    <row r="16" spans="1:21" s="69" customFormat="1" ht="16.95" customHeight="1" thickBot="1" x14ac:dyDescent="0.3">
      <c r="A16" s="549"/>
      <c r="B16" s="493"/>
      <c r="C16" s="228" t="s">
        <v>218</v>
      </c>
      <c r="D16" s="236"/>
      <c r="E16" s="236"/>
      <c r="F16" s="247">
        <f>IF('Gårdens info'!D9&gt;0,J73,0)</f>
        <v>700</v>
      </c>
      <c r="G16" s="119" t="s">
        <v>57</v>
      </c>
      <c r="H16" s="503">
        <f>IF('Gårdens info'!$G$9&gt;0,F16/'Gårdens info'!$G$9,0)</f>
        <v>2.3333333333333334E-2</v>
      </c>
      <c r="I16" s="119" t="s">
        <v>206</v>
      </c>
      <c r="J16" s="237">
        <f>F16*'Gårdens info'!$D$9</f>
        <v>7000</v>
      </c>
      <c r="K16" s="119" t="s">
        <v>207</v>
      </c>
      <c r="L16" s="236"/>
      <c r="M16" s="239"/>
      <c r="N16" s="369"/>
      <c r="O16" s="651">
        <f t="shared" si="0"/>
        <v>0</v>
      </c>
      <c r="P16" s="119" t="s">
        <v>212</v>
      </c>
      <c r="Q16" s="652" t="s">
        <v>216</v>
      </c>
      <c r="R16" s="119"/>
      <c r="S16" s="379">
        <v>0</v>
      </c>
      <c r="T16" s="255"/>
      <c r="U16" s="239" t="s">
        <v>206</v>
      </c>
    </row>
    <row r="17" spans="1:30" s="69" customFormat="1" ht="17.399999999999999" x14ac:dyDescent="0.3">
      <c r="A17" s="549"/>
      <c r="B17" s="235"/>
      <c r="C17" s="228" t="s">
        <v>219</v>
      </c>
      <c r="D17" s="236"/>
      <c r="E17" s="236"/>
      <c r="F17" s="237">
        <f>IF('Gårdens info'!D9&gt;0,J84,0)</f>
        <v>780.3</v>
      </c>
      <c r="G17" s="119" t="s">
        <v>57</v>
      </c>
      <c r="H17" s="503">
        <f>IF('Gårdens info'!$G$9&gt;0,F17/'Gårdens info'!$G$9,0)</f>
        <v>2.6009999999999998E-2</v>
      </c>
      <c r="I17" s="119" t="s">
        <v>206</v>
      </c>
      <c r="J17" s="237">
        <f>F17*'Gårdens info'!$D$9</f>
        <v>7803</v>
      </c>
      <c r="K17" s="119" t="s">
        <v>207</v>
      </c>
      <c r="L17" s="236"/>
      <c r="M17" s="239"/>
      <c r="N17" s="371"/>
      <c r="O17" s="1088" t="s">
        <v>54</v>
      </c>
      <c r="P17" s="1088"/>
      <c r="Q17" s="1088"/>
      <c r="R17" s="120"/>
      <c r="S17" s="375">
        <f>SUM(S10:S16)</f>
        <v>1</v>
      </c>
      <c r="T17" s="120"/>
      <c r="U17" s="234"/>
    </row>
    <row r="18" spans="1:30" s="69" customFormat="1" ht="15.6" x14ac:dyDescent="0.3">
      <c r="A18" s="549"/>
      <c r="B18" s="235"/>
      <c r="C18" s="228" t="s">
        <v>220</v>
      </c>
      <c r="D18" s="236"/>
      <c r="E18" s="236"/>
      <c r="F18" s="237">
        <f>IF('Gårdens info'!D9&gt;0,J106,0)</f>
        <v>249.09</v>
      </c>
      <c r="G18" s="119" t="s">
        <v>57</v>
      </c>
      <c r="H18" s="503">
        <f>IF('Gårdens info'!$G$9&gt;0,F18/'Gårdens info'!$G$9,0)</f>
        <v>8.3029999999999996E-3</v>
      </c>
      <c r="I18" s="119" t="s">
        <v>206</v>
      </c>
      <c r="J18" s="237">
        <f>F18*'Gårdens info'!$D$9</f>
        <v>2490.9</v>
      </c>
      <c r="K18" s="119" t="s">
        <v>207</v>
      </c>
      <c r="L18" s="236"/>
      <c r="M18" s="239"/>
      <c r="N18" s="227"/>
      <c r="O18" s="376" t="str">
        <f>IF(S17=100%," ","HUOM! Osuus myyynneistä pitää summautua 100 prosenttiin")</f>
        <v xml:space="preserve"> </v>
      </c>
      <c r="P18" s="119"/>
      <c r="R18" s="119"/>
      <c r="S18" s="119"/>
      <c r="T18" s="119"/>
      <c r="U18" s="239"/>
    </row>
    <row r="19" spans="1:30" s="69" customFormat="1" ht="15.6" thickBot="1" x14ac:dyDescent="0.3">
      <c r="A19" s="549"/>
      <c r="B19" s="235"/>
      <c r="C19" s="228" t="s">
        <v>221</v>
      </c>
      <c r="D19" s="236"/>
      <c r="E19" s="236"/>
      <c r="F19" s="237">
        <f>IF('Gårdens info'!D9&gt;0,J118,0)</f>
        <v>150</v>
      </c>
      <c r="G19" s="119" t="s">
        <v>57</v>
      </c>
      <c r="H19" s="503">
        <f>IF('Gårdens info'!$G$9&gt;0,F19/'Gårdens info'!$G$9,0)</f>
        <v>5.0000000000000001E-3</v>
      </c>
      <c r="I19" s="119" t="s">
        <v>206</v>
      </c>
      <c r="J19" s="237">
        <f>F19*'Gårdens info'!$D$9</f>
        <v>1500</v>
      </c>
      <c r="K19" s="119" t="s">
        <v>207</v>
      </c>
      <c r="L19" s="236"/>
      <c r="M19" s="239"/>
      <c r="N19" s="372"/>
      <c r="O19" s="373"/>
      <c r="P19" s="373"/>
      <c r="Q19" s="373"/>
      <c r="R19" s="373"/>
      <c r="S19" s="373"/>
      <c r="T19" s="373"/>
      <c r="U19" s="374"/>
    </row>
    <row r="20" spans="1:30" s="69" customFormat="1" ht="15" x14ac:dyDescent="0.25">
      <c r="A20" s="549"/>
      <c r="B20" s="235"/>
      <c r="C20" s="228" t="s">
        <v>222</v>
      </c>
      <c r="D20" s="236"/>
      <c r="E20" s="236"/>
      <c r="F20" s="237">
        <f>IF('Gårdens info'!D9&gt;0,122,0)</f>
        <v>122</v>
      </c>
      <c r="G20" s="119" t="s">
        <v>57</v>
      </c>
      <c r="H20" s="503">
        <f>IF('Gårdens info'!$G$9&gt;0,F20/'Gårdens info'!$G$9,0)</f>
        <v>4.0666666666666663E-3</v>
      </c>
      <c r="I20" s="119" t="s">
        <v>206</v>
      </c>
      <c r="J20" s="237">
        <f>F20*'Gårdens info'!$D$9</f>
        <v>1220</v>
      </c>
      <c r="K20" s="119" t="s">
        <v>207</v>
      </c>
      <c r="L20" s="236"/>
      <c r="M20" s="239"/>
    </row>
    <row r="21" spans="1:30" s="69" customFormat="1" ht="15" x14ac:dyDescent="0.25">
      <c r="A21" s="549"/>
      <c r="B21" s="235"/>
      <c r="C21" s="228" t="s">
        <v>223</v>
      </c>
      <c r="D21" s="236"/>
      <c r="E21" s="236"/>
      <c r="F21" s="237">
        <f>IF('Gårdens info'!D9&gt;0,J134,0)</f>
        <v>0</v>
      </c>
      <c r="G21" s="119" t="s">
        <v>57</v>
      </c>
      <c r="H21" s="503">
        <f>IF('Gårdens info'!$G$9&gt;0,F21/'Gårdens info'!$G$9,0)</f>
        <v>0</v>
      </c>
      <c r="I21" s="119" t="s">
        <v>206</v>
      </c>
      <c r="J21" s="237">
        <f>F21*'Gårdens info'!$D$9</f>
        <v>0</v>
      </c>
      <c r="K21" s="119" t="s">
        <v>207</v>
      </c>
      <c r="L21" s="236"/>
      <c r="M21" s="239"/>
    </row>
    <row r="22" spans="1:30" s="69" customFormat="1" ht="15" x14ac:dyDescent="0.25">
      <c r="A22" s="549"/>
      <c r="B22" s="235"/>
      <c r="C22" s="228" t="s">
        <v>224</v>
      </c>
      <c r="D22" s="236"/>
      <c r="E22" s="236"/>
      <c r="F22" s="237">
        <f>IF('Gårdens info'!D9&gt;0,J146,0)</f>
        <v>982.2</v>
      </c>
      <c r="G22" s="119" t="s">
        <v>57</v>
      </c>
      <c r="H22" s="503">
        <f>IF('Gårdens info'!$G$9&gt;0,F22/'Gårdens info'!$G$9,0)</f>
        <v>3.2739999999999998E-2</v>
      </c>
      <c r="I22" s="119" t="s">
        <v>206</v>
      </c>
      <c r="J22" s="237">
        <f>F22*'Gårdens info'!$D$9</f>
        <v>9822</v>
      </c>
      <c r="K22" s="119" t="s">
        <v>207</v>
      </c>
      <c r="L22" s="236"/>
      <c r="M22" s="239"/>
    </row>
    <row r="23" spans="1:30" s="69" customFormat="1" ht="15" x14ac:dyDescent="0.25">
      <c r="A23" s="549"/>
      <c r="B23" s="235"/>
      <c r="C23" s="228" t="s">
        <v>225</v>
      </c>
      <c r="D23" s="236"/>
      <c r="E23" s="236"/>
      <c r="F23" s="237">
        <f>IF('Gårdens info'!D9&gt;0,L173,0)</f>
        <v>0</v>
      </c>
      <c r="G23" s="119" t="s">
        <v>57</v>
      </c>
      <c r="H23" s="503">
        <f>IF('Gårdens info'!$G$9&gt;0,F23/'Gårdens info'!$G$9,0)</f>
        <v>0</v>
      </c>
      <c r="I23" s="119" t="s">
        <v>206</v>
      </c>
      <c r="J23" s="237">
        <f>F23*'Gårdens info'!$D$9</f>
        <v>0</v>
      </c>
      <c r="K23" s="119" t="s">
        <v>207</v>
      </c>
      <c r="L23" s="236"/>
      <c r="M23" s="239"/>
    </row>
    <row r="24" spans="1:30" ht="17.399999999999999" x14ac:dyDescent="0.3">
      <c r="B24" s="251"/>
      <c r="C24" s="240" t="s">
        <v>54</v>
      </c>
      <c r="D24" s="241"/>
      <c r="E24" s="241"/>
      <c r="F24" s="242">
        <f>SUM(F16:F23)</f>
        <v>2983.59</v>
      </c>
      <c r="G24" s="243" t="s">
        <v>57</v>
      </c>
      <c r="H24" s="504">
        <f>SUM(H16:H23)</f>
        <v>9.9452999999999986E-2</v>
      </c>
      <c r="I24" s="243" t="s">
        <v>206</v>
      </c>
      <c r="J24" s="242">
        <f>SUM(J16:J23)</f>
        <v>29835.9</v>
      </c>
      <c r="K24" s="243" t="s">
        <v>207</v>
      </c>
      <c r="L24" s="241"/>
      <c r="M24" s="252"/>
      <c r="N24" s="69"/>
      <c r="O24" s="69"/>
      <c r="P24" s="69"/>
      <c r="Q24" s="56"/>
      <c r="R24" s="69"/>
      <c r="S24" s="69"/>
      <c r="T24" s="69"/>
      <c r="U24" s="69"/>
    </row>
    <row r="25" spans="1:30" s="56" customFormat="1" ht="17.399999999999999" x14ac:dyDescent="0.3">
      <c r="A25" s="550"/>
      <c r="B25" s="231"/>
      <c r="C25" s="245"/>
      <c r="D25" s="246"/>
      <c r="E25" s="246"/>
      <c r="F25" s="247"/>
      <c r="G25" s="119"/>
      <c r="H25" s="505"/>
      <c r="I25" s="246"/>
      <c r="J25" s="246"/>
      <c r="K25" s="246"/>
      <c r="L25" s="246"/>
      <c r="M25" s="226"/>
      <c r="N25"/>
      <c r="O25"/>
      <c r="P25"/>
      <c r="Q25" s="69"/>
      <c r="R25" s="69"/>
      <c r="S25"/>
      <c r="T25"/>
      <c r="U25"/>
      <c r="AB25" s="691" t="str">
        <f>C16</f>
        <v>Frö</v>
      </c>
      <c r="AC25" s="694">
        <f>F16</f>
        <v>700</v>
      </c>
      <c r="AD25" s="681"/>
    </row>
    <row r="26" spans="1:30" s="69" customFormat="1" ht="17.399999999999999" x14ac:dyDescent="0.3">
      <c r="A26" s="549"/>
      <c r="B26" s="1089" t="s">
        <v>226</v>
      </c>
      <c r="C26" s="1090"/>
      <c r="D26" s="1090"/>
      <c r="E26" s="1090"/>
      <c r="F26" s="263">
        <f>IF('Gårdens info'!D9&gt;0,J26/'Gårdens info'!D9,0)</f>
        <v>238.2978723404255</v>
      </c>
      <c r="G26" s="243" t="s">
        <v>57</v>
      </c>
      <c r="H26" s="506">
        <f>IF('Gårdens info'!G9&gt;0,F26/'Gårdens info'!G9,0)</f>
        <v>7.9432624113475164E-3</v>
      </c>
      <c r="I26" s="243" t="s">
        <v>206</v>
      </c>
      <c r="J26" s="258">
        <f>'Gårdens info'!G163/'Gårdens info'!D43*'Gårdens info'!D9</f>
        <v>2382.9787234042551</v>
      </c>
      <c r="K26" s="243" t="s">
        <v>207</v>
      </c>
      <c r="L26" s="265"/>
      <c r="M26" s="259"/>
      <c r="N26" s="56"/>
      <c r="O26" s="56"/>
      <c r="P26" s="56"/>
      <c r="S26" s="56"/>
      <c r="T26" s="56"/>
      <c r="U26" s="56"/>
      <c r="AB26" s="691" t="str">
        <f t="shared" ref="AB26:AB32" si="1">C17</f>
        <v>Gödsel och kalk</v>
      </c>
      <c r="AC26" s="694">
        <f t="shared" ref="AC26:AC32" si="2">F17</f>
        <v>780.3</v>
      </c>
      <c r="AD26" s="682"/>
    </row>
    <row r="27" spans="1:30" s="69" customFormat="1" ht="17.399999999999999" x14ac:dyDescent="0.3">
      <c r="A27" s="549"/>
      <c r="B27" s="1091" t="s">
        <v>227</v>
      </c>
      <c r="C27" s="1092"/>
      <c r="D27" s="1092"/>
      <c r="E27" s="1092"/>
      <c r="F27" s="263">
        <f>IF('Gårdens info'!D9&gt;0,J27/'Gårdens info'!D9,0)</f>
        <v>187.2340425531915</v>
      </c>
      <c r="G27" s="243" t="s">
        <v>57</v>
      </c>
      <c r="H27" s="506">
        <f>IF('Gårdens info'!G9&gt;0,F27/'Gårdens info'!G9,0)</f>
        <v>6.2411347517730498E-3</v>
      </c>
      <c r="I27" s="243" t="s">
        <v>206</v>
      </c>
      <c r="J27" s="258">
        <f>'Gårdens info'!$D$48/'Gårdens info'!$D$49*'Gårdens info'!$G$48*'Gårdens info'!D9</f>
        <v>1872.3404255319151</v>
      </c>
      <c r="K27" s="243" t="s">
        <v>207</v>
      </c>
      <c r="L27" s="265"/>
      <c r="M27" s="259"/>
      <c r="AB27" s="691" t="str">
        <f t="shared" si="1"/>
        <v>IPM Växtskydd</v>
      </c>
      <c r="AC27" s="694">
        <f t="shared" si="2"/>
        <v>249.09</v>
      </c>
      <c r="AD27" s="682"/>
    </row>
    <row r="28" spans="1:30" s="69" customFormat="1" ht="21" x14ac:dyDescent="0.4">
      <c r="A28" s="549"/>
      <c r="B28" s="1061" t="s">
        <v>189</v>
      </c>
      <c r="C28" s="1043"/>
      <c r="D28" s="1043"/>
      <c r="E28" s="262"/>
      <c r="F28" s="266">
        <f>F24+F26+F27</f>
        <v>3409.121914893617</v>
      </c>
      <c r="G28" s="267" t="s">
        <v>57</v>
      </c>
      <c r="H28" s="507">
        <f>H24+H26+H27</f>
        <v>0.11363739716312056</v>
      </c>
      <c r="I28" s="267" t="s">
        <v>206</v>
      </c>
      <c r="J28" s="269">
        <f>J24+J26+J27</f>
        <v>34091.219148936172</v>
      </c>
      <c r="K28" s="267" t="s">
        <v>207</v>
      </c>
      <c r="L28" s="267"/>
      <c r="M28" s="259"/>
      <c r="AB28" s="691" t="str">
        <f t="shared" si="1"/>
        <v>Packningsmaterial</v>
      </c>
      <c r="AC28" s="694">
        <f t="shared" si="2"/>
        <v>150</v>
      </c>
      <c r="AD28" s="682"/>
    </row>
    <row r="29" spans="1:30" s="69" customFormat="1" ht="21" x14ac:dyDescent="0.4">
      <c r="A29" s="549"/>
      <c r="B29" s="288"/>
      <c r="C29" s="270"/>
      <c r="D29" s="270"/>
      <c r="E29" s="262"/>
      <c r="F29" s="266"/>
      <c r="G29" s="267"/>
      <c r="H29" s="268"/>
      <c r="I29" s="267"/>
      <c r="J29" s="269"/>
      <c r="K29" s="267"/>
      <c r="L29" s="267"/>
      <c r="M29" s="259"/>
      <c r="AB29" s="691" t="str">
        <f t="shared" si="1"/>
        <v>Fraktkostnader</v>
      </c>
      <c r="AC29" s="694">
        <f t="shared" si="2"/>
        <v>122</v>
      </c>
      <c r="AD29" s="682"/>
    </row>
    <row r="30" spans="1:30" s="69" customFormat="1" ht="21" x14ac:dyDescent="0.4">
      <c r="A30" s="549"/>
      <c r="B30" s="257" t="s">
        <v>228</v>
      </c>
      <c r="C30" s="225"/>
      <c r="D30" s="116"/>
      <c r="E30" s="116"/>
      <c r="F30" s="116"/>
      <c r="G30" s="116"/>
      <c r="H30" s="116"/>
      <c r="I30" s="116"/>
      <c r="J30" s="232"/>
      <c r="K30" s="116"/>
      <c r="L30" s="116"/>
      <c r="M30" s="226"/>
      <c r="AB30" s="691" t="str">
        <f t="shared" si="1"/>
        <v>Maskinkostnader och entreprenad</v>
      </c>
      <c r="AC30" s="694">
        <f t="shared" si="2"/>
        <v>0</v>
      </c>
      <c r="AD30" s="682"/>
    </row>
    <row r="31" spans="1:30" s="69" customFormat="1" ht="21" x14ac:dyDescent="0.4">
      <c r="A31" s="549"/>
      <c r="B31" s="1081" t="s">
        <v>69</v>
      </c>
      <c r="C31" s="1082"/>
      <c r="D31" s="270"/>
      <c r="E31" s="262"/>
      <c r="F31" s="266"/>
      <c r="G31" s="267"/>
      <c r="H31" s="268"/>
      <c r="I31" s="267"/>
      <c r="J31" s="269"/>
      <c r="K31" s="267"/>
      <c r="L31" s="267"/>
      <c r="M31" s="259"/>
      <c r="AB31" s="691" t="str">
        <f t="shared" si="1"/>
        <v>Energikostnader</v>
      </c>
      <c r="AC31" s="694">
        <f t="shared" si="2"/>
        <v>982.2</v>
      </c>
      <c r="AD31" s="682"/>
    </row>
    <row r="32" spans="1:30" s="69" customFormat="1" ht="21" x14ac:dyDescent="0.4">
      <c r="A32" s="549"/>
      <c r="B32" s="287"/>
      <c r="C32" s="274" t="s">
        <v>229</v>
      </c>
      <c r="D32" s="270"/>
      <c r="E32" s="262"/>
      <c r="F32" s="276">
        <f>IF('Gårdens info'!$D$9&gt;0,J32/'Gårdens info'!$D$9,0)</f>
        <v>467.82978723404256</v>
      </c>
      <c r="G32" s="119" t="s">
        <v>57</v>
      </c>
      <c r="H32" s="502">
        <f>IF('Gårdens info'!$G$9&gt;0,F32/'Gårdens info'!$G$9,0)</f>
        <v>1.5594326241134751E-2</v>
      </c>
      <c r="I32" s="119" t="s">
        <v>206</v>
      </c>
      <c r="J32" s="237">
        <f>Egendom!AL25</f>
        <v>4678.2978723404258</v>
      </c>
      <c r="K32" s="119" t="s">
        <v>207</v>
      </c>
      <c r="L32" s="267"/>
      <c r="M32" s="259"/>
      <c r="Q32" s="192"/>
      <c r="R32" s="192"/>
      <c r="AB32" s="691" t="str">
        <f t="shared" si="1"/>
        <v>Anställd arbetskraft</v>
      </c>
      <c r="AC32" s="694">
        <f t="shared" si="2"/>
        <v>0</v>
      </c>
      <c r="AD32" s="682"/>
    </row>
    <row r="33" spans="1:30" s="192" customFormat="1" ht="21" x14ac:dyDescent="0.4">
      <c r="A33" s="551"/>
      <c r="B33" s="287"/>
      <c r="C33" s="274" t="s">
        <v>230</v>
      </c>
      <c r="D33" s="270"/>
      <c r="E33" s="262"/>
      <c r="F33" s="276">
        <f>IF('Gårdens info'!$D$9&gt;0,J33/'Gårdens info'!$D$9,0)</f>
        <v>292.39361702127661</v>
      </c>
      <c r="G33" s="119" t="s">
        <v>57</v>
      </c>
      <c r="H33" s="502">
        <f>IF('Gårdens info'!$G$9&gt;0,F33/'Gårdens info'!$G$9,0)</f>
        <v>9.7464539007092212E-3</v>
      </c>
      <c r="I33" s="119" t="s">
        <v>206</v>
      </c>
      <c r="J33" s="237">
        <f>Egendom!BJ25</f>
        <v>2923.9361702127662</v>
      </c>
      <c r="K33" s="119" t="s">
        <v>207</v>
      </c>
      <c r="L33" s="267"/>
      <c r="M33" s="259"/>
      <c r="N33" s="69"/>
      <c r="O33" s="69"/>
      <c r="P33" s="69"/>
      <c r="Q33"/>
      <c r="R33"/>
      <c r="S33" s="69"/>
      <c r="T33" s="69"/>
      <c r="U33" s="69"/>
      <c r="AB33" s="692" t="s">
        <v>231</v>
      </c>
      <c r="AC33" s="692">
        <f>F26</f>
        <v>238.2978723404255</v>
      </c>
      <c r="AD33" s="683"/>
    </row>
    <row r="34" spans="1:30" ht="17.399999999999999" x14ac:dyDescent="0.3">
      <c r="B34" s="287"/>
      <c r="C34" s="1083" t="s">
        <v>232</v>
      </c>
      <c r="D34" s="1083"/>
      <c r="E34" s="262"/>
      <c r="F34" s="276">
        <f>IF('Gårdens info'!$D$9&gt;0,J34/'Gårdens info'!$D$9,0)</f>
        <v>116.95744680851064</v>
      </c>
      <c r="G34" s="119" t="s">
        <v>57</v>
      </c>
      <c r="H34" s="502">
        <f>IF('Gårdens info'!$G$9&gt;0,F34/'Gårdens info'!$G$9,0)</f>
        <v>3.8985815602836879E-3</v>
      </c>
      <c r="I34" s="119" t="s">
        <v>206</v>
      </c>
      <c r="J34" s="237">
        <f>Egendom!CH25</f>
        <v>1169.5744680851064</v>
      </c>
      <c r="K34" s="119" t="s">
        <v>207</v>
      </c>
      <c r="L34" s="267"/>
      <c r="M34" s="259"/>
      <c r="N34" s="192"/>
      <c r="O34" s="192"/>
      <c r="P34" s="192"/>
      <c r="S34" s="192"/>
      <c r="T34" s="192"/>
      <c r="U34" s="192"/>
      <c r="AB34" s="691" t="s">
        <v>233</v>
      </c>
      <c r="AC34" s="692">
        <f>F27</f>
        <v>187.2340425531915</v>
      </c>
      <c r="AD34" s="669"/>
    </row>
    <row r="35" spans="1:30" ht="21" x14ac:dyDescent="0.4">
      <c r="B35" s="287"/>
      <c r="C35" s="274" t="s">
        <v>234</v>
      </c>
      <c r="D35" s="270"/>
      <c r="E35" s="262"/>
      <c r="F35" s="276">
        <f>IF('Gårdens info'!$D$9&gt;0,J35/'Gårdens info'!$D$9,0)</f>
        <v>23.391489361702128</v>
      </c>
      <c r="G35" s="119" t="s">
        <v>57</v>
      </c>
      <c r="H35" s="502">
        <f>IF('Gårdens info'!$G$9&gt;0,F35/'Gårdens info'!$G$9,0)</f>
        <v>7.7971631205673761E-4</v>
      </c>
      <c r="I35" s="119" t="s">
        <v>206</v>
      </c>
      <c r="J35" s="237">
        <f>Egendom!DF25</f>
        <v>233.91489361702128</v>
      </c>
      <c r="K35" s="119" t="s">
        <v>207</v>
      </c>
      <c r="L35" s="267"/>
      <c r="M35" s="259"/>
      <c r="AB35" s="691" t="s">
        <v>235</v>
      </c>
      <c r="AC35" s="693">
        <f>F36</f>
        <v>900.57234042553193</v>
      </c>
      <c r="AD35" s="669"/>
    </row>
    <row r="36" spans="1:30" ht="20.399999999999999" x14ac:dyDescent="0.35">
      <c r="B36" s="289"/>
      <c r="C36" s="278" t="s">
        <v>54</v>
      </c>
      <c r="D36" s="279"/>
      <c r="E36" s="262"/>
      <c r="F36" s="280">
        <f>SUM(F32:F35)</f>
        <v>900.57234042553193</v>
      </c>
      <c r="G36" s="119" t="s">
        <v>57</v>
      </c>
      <c r="H36" s="591">
        <f>SUM(H32:H35)</f>
        <v>3.0019078014184401E-2</v>
      </c>
      <c r="I36" s="119" t="s">
        <v>206</v>
      </c>
      <c r="J36" s="280">
        <f t="shared" ref="J36" si="3">SUM(J32:J35)</f>
        <v>9005.7234042553191</v>
      </c>
      <c r="K36" s="119" t="s">
        <v>207</v>
      </c>
      <c r="L36" s="281"/>
      <c r="M36" s="259"/>
      <c r="Q36" s="69"/>
      <c r="R36" s="69"/>
      <c r="AB36" s="691" t="s">
        <v>236</v>
      </c>
      <c r="AC36" s="695">
        <f>F43</f>
        <v>1247.2602836879432</v>
      </c>
      <c r="AD36" s="669"/>
    </row>
    <row r="37" spans="1:30" s="69" customFormat="1" ht="21" x14ac:dyDescent="0.4">
      <c r="A37" s="549"/>
      <c r="B37" s="287"/>
      <c r="C37" s="274"/>
      <c r="D37" s="270"/>
      <c r="E37" s="262"/>
      <c r="F37" s="276"/>
      <c r="G37" s="119"/>
      <c r="H37" s="277"/>
      <c r="I37" s="119"/>
      <c r="J37" s="237"/>
      <c r="K37" s="119"/>
      <c r="L37" s="267"/>
      <c r="M37" s="259"/>
      <c r="N37"/>
      <c r="O37"/>
      <c r="P37"/>
      <c r="S37"/>
      <c r="T37"/>
      <c r="U37"/>
      <c r="AB37" s="691" t="s">
        <v>237</v>
      </c>
      <c r="AC37" s="695">
        <f>F50</f>
        <v>223.125</v>
      </c>
      <c r="AD37" s="682"/>
    </row>
    <row r="38" spans="1:30" s="69" customFormat="1" ht="17.399999999999999" x14ac:dyDescent="0.3">
      <c r="A38" s="549"/>
      <c r="B38" s="1081" t="s">
        <v>83</v>
      </c>
      <c r="C38" s="1082"/>
      <c r="D38" s="1082"/>
      <c r="E38" s="262"/>
      <c r="F38" s="276"/>
      <c r="G38" s="119"/>
      <c r="H38" s="277"/>
      <c r="I38" s="119"/>
      <c r="J38" s="237"/>
      <c r="K38" s="119"/>
      <c r="L38" s="267"/>
      <c r="M38" s="259"/>
      <c r="AB38" s="691" t="s">
        <v>238</v>
      </c>
      <c r="AC38" s="695">
        <f>F56</f>
        <v>12.76595744680851</v>
      </c>
      <c r="AD38" s="682"/>
    </row>
    <row r="39" spans="1:30" s="69" customFormat="1" ht="21" x14ac:dyDescent="0.4">
      <c r="A39" s="549"/>
      <c r="B39" s="287"/>
      <c r="C39" s="274" t="s">
        <v>229</v>
      </c>
      <c r="D39" s="270"/>
      <c r="E39" s="262"/>
      <c r="F39" s="276">
        <f>IF('Gårdens info'!$D$9&gt;0,J39/'Gårdens info'!$D$9,0)</f>
        <v>530.92198581560274</v>
      </c>
      <c r="G39" s="119" t="s">
        <v>57</v>
      </c>
      <c r="H39" s="502">
        <f>IF('Gårdens info'!$G$9&gt;0,F39/'Gårdens info'!$G$9,0)</f>
        <v>1.7697399527186759E-2</v>
      </c>
      <c r="I39" s="119" t="s">
        <v>206</v>
      </c>
      <c r="J39" s="237">
        <f>Egendom!AL61</f>
        <v>5309.2198581560278</v>
      </c>
      <c r="K39" s="119" t="s">
        <v>207</v>
      </c>
      <c r="L39" s="267"/>
      <c r="M39" s="259"/>
      <c r="AB39" s="691" t="s">
        <v>192</v>
      </c>
      <c r="AC39" s="692">
        <f>F62</f>
        <v>2327.25</v>
      </c>
      <c r="AD39" s="682"/>
    </row>
    <row r="40" spans="1:30" s="5" customFormat="1" ht="21" x14ac:dyDescent="0.4">
      <c r="A40" s="548"/>
      <c r="B40" s="287"/>
      <c r="C40" s="274" t="s">
        <v>230</v>
      </c>
      <c r="D40" s="270"/>
      <c r="E40" s="262"/>
      <c r="F40" s="276">
        <f>IF('Gårdens info'!$D$9&gt;0,J40/'Gårdens info'!$D$9,0)</f>
        <v>199.09574468085106</v>
      </c>
      <c r="G40" s="119" t="s">
        <v>57</v>
      </c>
      <c r="H40" s="502">
        <f>IF('Gårdens info'!$G$9&gt;0,F40/'Gårdens info'!$G$9,0)</f>
        <v>6.6365248226950349E-3</v>
      </c>
      <c r="I40" s="119" t="s">
        <v>206</v>
      </c>
      <c r="J40" s="237">
        <f>Egendom!BJ61</f>
        <v>1990.9574468085107</v>
      </c>
      <c r="K40" s="119" t="s">
        <v>207</v>
      </c>
      <c r="L40" s="267"/>
      <c r="M40" s="259"/>
      <c r="N40" s="69"/>
      <c r="O40" s="69"/>
      <c r="P40" s="69"/>
      <c r="Q40" s="69"/>
      <c r="R40" s="69"/>
      <c r="S40" s="69"/>
      <c r="T40" s="69"/>
      <c r="U40" s="69"/>
    </row>
    <row r="41" spans="1:30" s="5" customFormat="1" ht="17.399999999999999" x14ac:dyDescent="0.3">
      <c r="A41" s="548"/>
      <c r="B41" s="287"/>
      <c r="C41" s="1083" t="s">
        <v>232</v>
      </c>
      <c r="D41" s="1083"/>
      <c r="E41" s="262"/>
      <c r="F41" s="276">
        <f>IF('Gårdens info'!$D$9&gt;0,J41/'Gårdens info'!$D$9,0)</f>
        <v>484.91489361702133</v>
      </c>
      <c r="G41" s="119" t="s">
        <v>57</v>
      </c>
      <c r="H41" s="502">
        <f>IF('Gårdens info'!$G$9&gt;0,F41/'Gårdens info'!$G$9,0)</f>
        <v>1.6163829787234043E-2</v>
      </c>
      <c r="I41" s="119" t="s">
        <v>206</v>
      </c>
      <c r="J41" s="237">
        <f>Egendom!CH61</f>
        <v>4849.1489361702133</v>
      </c>
      <c r="K41" s="119" t="s">
        <v>207</v>
      </c>
      <c r="L41" s="267"/>
      <c r="M41" s="259"/>
    </row>
    <row r="42" spans="1:30" s="5" customFormat="1" ht="21" x14ac:dyDescent="0.4">
      <c r="A42" s="548"/>
      <c r="B42" s="287"/>
      <c r="C42" s="274" t="s">
        <v>234</v>
      </c>
      <c r="D42" s="270"/>
      <c r="E42" s="262"/>
      <c r="F42" s="276">
        <f>IF('Gårdens info'!$D$9&gt;0,J42/'Gårdens info'!$D$9,0)</f>
        <v>32.327659574468086</v>
      </c>
      <c r="G42" s="119" t="s">
        <v>57</v>
      </c>
      <c r="H42" s="502">
        <f>IF('Gårdens info'!$G$9&gt;0,F42/'Gårdens info'!$G$9,0)</f>
        <v>1.0775886524822696E-3</v>
      </c>
      <c r="I42" s="119" t="s">
        <v>206</v>
      </c>
      <c r="J42" s="237">
        <f>Egendom!DF61</f>
        <v>323.27659574468089</v>
      </c>
      <c r="K42" s="119" t="s">
        <v>207</v>
      </c>
      <c r="L42" s="267"/>
      <c r="M42" s="259"/>
    </row>
    <row r="43" spans="1:30" s="5" customFormat="1" ht="20.399999999999999" x14ac:dyDescent="0.35">
      <c r="A43" s="548"/>
      <c r="B43" s="289"/>
      <c r="C43" s="278" t="s">
        <v>54</v>
      </c>
      <c r="D43" s="279"/>
      <c r="E43" s="262"/>
      <c r="F43" s="280">
        <f>SUM(F39:F42)</f>
        <v>1247.2602836879432</v>
      </c>
      <c r="G43" s="119" t="s">
        <v>57</v>
      </c>
      <c r="H43" s="591">
        <f>SUM(H39:H42)</f>
        <v>4.1575342789598103E-2</v>
      </c>
      <c r="I43" s="119" t="s">
        <v>206</v>
      </c>
      <c r="J43" s="280">
        <f t="shared" ref="J43" si="4">SUM(J39:J42)</f>
        <v>12472.602836879432</v>
      </c>
      <c r="K43" s="119" t="s">
        <v>207</v>
      </c>
      <c r="L43" s="281"/>
      <c r="M43" s="259"/>
    </row>
    <row r="44" spans="1:30" s="5" customFormat="1" ht="21" x14ac:dyDescent="0.4">
      <c r="A44" s="548"/>
      <c r="B44" s="287"/>
      <c r="C44" s="274"/>
      <c r="D44" s="270"/>
      <c r="E44" s="262"/>
      <c r="F44" s="276"/>
      <c r="G44" s="119"/>
      <c r="H44" s="277"/>
      <c r="I44" s="119"/>
      <c r="J44" s="237"/>
      <c r="K44" s="119"/>
      <c r="L44" s="267"/>
      <c r="M44" s="259"/>
    </row>
    <row r="45" spans="1:30" s="5" customFormat="1" ht="43.2" customHeight="1" x14ac:dyDescent="0.3">
      <c r="A45" s="548"/>
      <c r="B45" s="1081" t="s">
        <v>239</v>
      </c>
      <c r="C45" s="1082"/>
      <c r="D45" s="1082"/>
      <c r="E45" s="262"/>
      <c r="F45" s="276"/>
      <c r="G45" s="119"/>
      <c r="H45" s="277"/>
      <c r="I45" s="119"/>
      <c r="J45" s="237"/>
      <c r="K45" s="119"/>
      <c r="L45" s="267"/>
      <c r="M45" s="259"/>
    </row>
    <row r="46" spans="1:30" ht="21" x14ac:dyDescent="0.4">
      <c r="B46" s="287"/>
      <c r="C46" s="274" t="s">
        <v>229</v>
      </c>
      <c r="D46" s="270"/>
      <c r="E46" s="262"/>
      <c r="F46" s="276">
        <f>IF('Gårdens info'!$D$9&gt;0,J46/'Gårdens info'!$D$9,0)</f>
        <v>143.5</v>
      </c>
      <c r="G46" s="119" t="s">
        <v>57</v>
      </c>
      <c r="H46" s="502">
        <f>IF('Gårdens info'!$G$9&gt;0,F46/'Gårdens info'!$G$9,0)</f>
        <v>4.783333333333333E-3</v>
      </c>
      <c r="I46" s="119" t="s">
        <v>206</v>
      </c>
      <c r="J46" s="237">
        <f>Egendom!AL90</f>
        <v>1435</v>
      </c>
      <c r="K46" s="119" t="s">
        <v>207</v>
      </c>
      <c r="L46" s="267"/>
      <c r="M46" s="259"/>
      <c r="N46" s="5"/>
      <c r="O46" s="5"/>
      <c r="P46" s="5"/>
      <c r="Q46" s="5"/>
      <c r="R46" s="5"/>
      <c r="S46" s="5"/>
      <c r="T46" s="5"/>
      <c r="U46" s="5"/>
    </row>
    <row r="47" spans="1:30" s="5" customFormat="1" ht="21" x14ac:dyDescent="0.4">
      <c r="A47" s="548"/>
      <c r="B47" s="287"/>
      <c r="C47" s="274" t="s">
        <v>230</v>
      </c>
      <c r="D47" s="270"/>
      <c r="E47" s="262"/>
      <c r="F47" s="276">
        <f>IF('Gårdens info'!$D$9&gt;0,J47/'Gårdens info'!$D$9,0)</f>
        <v>35.875</v>
      </c>
      <c r="G47" s="119" t="s">
        <v>57</v>
      </c>
      <c r="H47" s="502">
        <f>IF('Gårdens info'!$G$9&gt;0,F47/'Gårdens info'!$G$9,0)</f>
        <v>1.1958333333333333E-3</v>
      </c>
      <c r="I47" s="119" t="s">
        <v>206</v>
      </c>
      <c r="J47" s="237">
        <f>Egendom!BJ90</f>
        <v>358.75</v>
      </c>
      <c r="K47" s="119" t="s">
        <v>207</v>
      </c>
      <c r="L47" s="267"/>
      <c r="M47" s="259"/>
      <c r="N47"/>
      <c r="O47"/>
      <c r="P47"/>
      <c r="Q47"/>
      <c r="R47"/>
      <c r="S47"/>
      <c r="T47"/>
      <c r="U47"/>
    </row>
    <row r="48" spans="1:30" s="5" customFormat="1" ht="17.399999999999999" x14ac:dyDescent="0.3">
      <c r="A48" s="548"/>
      <c r="B48" s="287"/>
      <c r="C48" s="1083" t="s">
        <v>232</v>
      </c>
      <c r="D48" s="1083"/>
      <c r="E48" s="262"/>
      <c r="F48" s="276">
        <f>IF('Gårdens info'!$D$9&gt;0,J48/'Gårdens info'!$D$9,0)</f>
        <v>43.75</v>
      </c>
      <c r="G48" s="119" t="s">
        <v>57</v>
      </c>
      <c r="H48" s="502">
        <f>IF('Gårdens info'!$G$9&gt;0,F48/'Gårdens info'!$G$9,0)</f>
        <v>1.4583333333333334E-3</v>
      </c>
      <c r="I48" s="119" t="s">
        <v>206</v>
      </c>
      <c r="J48" s="237">
        <f>Egendom!CH90</f>
        <v>437.5</v>
      </c>
      <c r="K48" s="119" t="s">
        <v>207</v>
      </c>
      <c r="L48" s="267"/>
      <c r="M48" s="259"/>
    </row>
    <row r="49" spans="1:17" s="5" customFormat="1" ht="21" x14ac:dyDescent="0.4">
      <c r="A49" s="548"/>
      <c r="B49" s="287"/>
      <c r="C49" s="274" t="s">
        <v>234</v>
      </c>
      <c r="D49" s="270"/>
      <c r="E49" s="262"/>
      <c r="F49" s="276">
        <f>IF('Gårdens info'!$D$9&gt;0,J49/'Gårdens info'!$D$9,0)</f>
        <v>0</v>
      </c>
      <c r="G49" s="119" t="s">
        <v>57</v>
      </c>
      <c r="H49" s="502">
        <f>IF('Gårdens info'!$G$9&gt;0,F49/'Gårdens info'!$G$9,0)</f>
        <v>0</v>
      </c>
      <c r="I49" s="119" t="s">
        <v>206</v>
      </c>
      <c r="J49" s="237">
        <f>Egendom!DF90</f>
        <v>0</v>
      </c>
      <c r="K49" s="119" t="s">
        <v>207</v>
      </c>
      <c r="L49" s="267"/>
      <c r="M49" s="259"/>
    </row>
    <row r="50" spans="1:17" s="5" customFormat="1" ht="20.399999999999999" x14ac:dyDescent="0.35">
      <c r="A50" s="548"/>
      <c r="B50" s="289"/>
      <c r="C50" s="278" t="s">
        <v>54</v>
      </c>
      <c r="D50" s="279"/>
      <c r="E50" s="262"/>
      <c r="F50" s="280">
        <f>SUM(F46:F49)</f>
        <v>223.125</v>
      </c>
      <c r="G50" s="119" t="s">
        <v>57</v>
      </c>
      <c r="H50" s="591">
        <f>SUM(H46:H49)</f>
        <v>7.4374999999999997E-3</v>
      </c>
      <c r="I50" s="119" t="s">
        <v>206</v>
      </c>
      <c r="J50" s="280">
        <f t="shared" ref="J50" si="5">SUM(J46:J49)</f>
        <v>2231.25</v>
      </c>
      <c r="K50" s="119" t="s">
        <v>207</v>
      </c>
      <c r="L50" s="281"/>
      <c r="M50" s="259"/>
    </row>
    <row r="51" spans="1:17" s="5" customFormat="1" ht="21" x14ac:dyDescent="0.4">
      <c r="A51" s="548"/>
      <c r="B51" s="287"/>
      <c r="C51" s="274"/>
      <c r="D51" s="270"/>
      <c r="E51" s="262"/>
      <c r="F51" s="276"/>
      <c r="G51" s="119"/>
      <c r="H51" s="277"/>
      <c r="I51" s="119"/>
      <c r="J51" s="237"/>
      <c r="K51" s="119"/>
      <c r="L51" s="267"/>
      <c r="M51" s="259"/>
    </row>
    <row r="52" spans="1:17" s="5" customFormat="1" ht="21" x14ac:dyDescent="0.4">
      <c r="A52" s="548"/>
      <c r="B52" s="1084" t="s">
        <v>139</v>
      </c>
      <c r="C52" s="1085"/>
      <c r="D52" s="270"/>
      <c r="E52" s="262"/>
      <c r="F52" s="276"/>
      <c r="G52" s="119"/>
      <c r="H52" s="277"/>
      <c r="I52" s="119"/>
      <c r="J52" s="237"/>
      <c r="K52" s="119"/>
      <c r="L52" s="267"/>
      <c r="M52" s="259"/>
    </row>
    <row r="53" spans="1:17" s="5" customFormat="1" ht="21" x14ac:dyDescent="0.4">
      <c r="A53" s="548"/>
      <c r="B53" s="287"/>
      <c r="C53" s="274" t="s">
        <v>229</v>
      </c>
      <c r="D53" s="270"/>
      <c r="E53" s="262"/>
      <c r="F53" s="276">
        <f>IF('Gårdens info'!$D$9&gt;0,J53/'Gårdens info'!$D$9,0)</f>
        <v>0</v>
      </c>
      <c r="G53" s="119" t="s">
        <v>57</v>
      </c>
      <c r="H53" s="502">
        <f>IF('Gårdens info'!$G$9&gt;0,F53/'Gårdens info'!$G$9,0)</f>
        <v>0</v>
      </c>
      <c r="I53" s="119" t="s">
        <v>206</v>
      </c>
      <c r="J53" s="237">
        <f>Egendom!AL93</f>
        <v>0</v>
      </c>
      <c r="K53" s="119" t="s">
        <v>207</v>
      </c>
      <c r="L53" s="267"/>
      <c r="M53" s="259"/>
    </row>
    <row r="54" spans="1:17" s="5" customFormat="1" ht="19.95" customHeight="1" x14ac:dyDescent="0.4">
      <c r="A54" s="548"/>
      <c r="B54" s="287"/>
      <c r="C54" s="274" t="s">
        <v>230</v>
      </c>
      <c r="D54" s="270"/>
      <c r="E54" s="262"/>
      <c r="F54" s="276">
        <f>IF('Gårdens info'!$D$9&gt;0,J54/'Gårdens info'!$D$9,0)</f>
        <v>0</v>
      </c>
      <c r="G54" s="119" t="s">
        <v>57</v>
      </c>
      <c r="H54" s="502">
        <f>IF('Gårdens info'!$G$9&gt;0,F54/'Gårdens info'!$G$9,0)</f>
        <v>0</v>
      </c>
      <c r="I54" s="119" t="s">
        <v>206</v>
      </c>
      <c r="J54" s="237">
        <f>Egendom!BJ93</f>
        <v>0</v>
      </c>
      <c r="K54" s="119" t="s">
        <v>207</v>
      </c>
      <c r="L54" s="267"/>
      <c r="M54" s="259"/>
      <c r="Q54" s="1008"/>
    </row>
    <row r="55" spans="1:17" s="5" customFormat="1" ht="17.399999999999999" x14ac:dyDescent="0.3">
      <c r="A55" s="548"/>
      <c r="B55" s="287"/>
      <c r="C55" s="1083" t="s">
        <v>232</v>
      </c>
      <c r="D55" s="1083"/>
      <c r="E55" s="262"/>
      <c r="F55" s="276">
        <f>IF('Gårdens info'!$D$9&gt;0,J55/'Gårdens info'!$D$9,0)</f>
        <v>12.76595744680851</v>
      </c>
      <c r="G55" s="119" t="s">
        <v>57</v>
      </c>
      <c r="H55" s="502">
        <f>IF('Gårdens info'!$G$9&gt;0,F55/'Gårdens info'!$G$9,0)</f>
        <v>4.2553191489361702E-4</v>
      </c>
      <c r="I55" s="119" t="s">
        <v>206</v>
      </c>
      <c r="J55" s="237">
        <f>Egendom!CH93</f>
        <v>127.65957446808511</v>
      </c>
      <c r="K55" s="119" t="s">
        <v>207</v>
      </c>
      <c r="L55" s="267"/>
      <c r="M55" s="259"/>
    </row>
    <row r="56" spans="1:17" s="5" customFormat="1" ht="15.6" x14ac:dyDescent="0.3">
      <c r="A56" s="548"/>
      <c r="B56" s="286"/>
      <c r="C56" s="261" t="s">
        <v>54</v>
      </c>
      <c r="D56" s="261"/>
      <c r="E56" s="261"/>
      <c r="F56" s="280">
        <f>SUM(F53:F55)</f>
        <v>12.76595744680851</v>
      </c>
      <c r="G56" s="119" t="s">
        <v>57</v>
      </c>
      <c r="H56" s="591">
        <f>SUM(H53:H55)</f>
        <v>4.2553191489361702E-4</v>
      </c>
      <c r="I56" s="119" t="s">
        <v>206</v>
      </c>
      <c r="J56" s="280">
        <f t="shared" ref="J56" si="6">SUM(J53:J55)</f>
        <v>127.65957446808511</v>
      </c>
      <c r="K56" s="119" t="s">
        <v>207</v>
      </c>
      <c r="L56" s="284"/>
      <c r="M56" s="290"/>
    </row>
    <row r="57" spans="1:17" s="5" customFormat="1" ht="21" x14ac:dyDescent="0.4">
      <c r="A57" s="548"/>
      <c r="B57" s="1061" t="s">
        <v>191</v>
      </c>
      <c r="C57" s="1043"/>
      <c r="D57" s="1043"/>
      <c r="E57" s="262"/>
      <c r="F57" s="266">
        <f>F36+F43+F50+F56</f>
        <v>2383.7235815602835</v>
      </c>
      <c r="G57" s="267" t="s">
        <v>57</v>
      </c>
      <c r="H57" s="507">
        <f>H36+H43+H50+H56</f>
        <v>7.9457452718676116E-2</v>
      </c>
      <c r="I57" s="267" t="s">
        <v>206</v>
      </c>
      <c r="J57" s="269">
        <f>J36+J43+J50+J56</f>
        <v>23837.235815602839</v>
      </c>
      <c r="K57" s="267" t="s">
        <v>207</v>
      </c>
      <c r="L57" s="267"/>
      <c r="M57" s="259"/>
    </row>
    <row r="58" spans="1:17" s="5" customFormat="1" ht="15.6" x14ac:dyDescent="0.3">
      <c r="A58" s="548"/>
      <c r="B58" s="286"/>
      <c r="C58" s="262"/>
      <c r="D58" s="262"/>
      <c r="E58" s="262"/>
      <c r="F58" s="263"/>
      <c r="G58" s="243"/>
      <c r="H58" s="264"/>
      <c r="I58" s="243"/>
      <c r="J58" s="258"/>
      <c r="K58" s="243"/>
      <c r="L58" s="265"/>
      <c r="M58" s="259"/>
    </row>
    <row r="59" spans="1:17" s="5" customFormat="1" ht="21" x14ac:dyDescent="0.4">
      <c r="A59" s="548"/>
      <c r="B59" s="257" t="s">
        <v>192</v>
      </c>
      <c r="C59" s="262"/>
      <c r="D59" s="262"/>
      <c r="E59" s="262"/>
      <c r="F59" s="263"/>
      <c r="G59" s="243"/>
      <c r="H59" s="264"/>
      <c r="I59" s="243"/>
      <c r="J59" s="258"/>
      <c r="K59" s="243"/>
      <c r="L59" s="265"/>
      <c r="M59" s="259"/>
    </row>
    <row r="60" spans="1:17" s="5" customFormat="1" ht="15" x14ac:dyDescent="0.25">
      <c r="A60" s="548"/>
      <c r="B60" s="235"/>
      <c r="C60" s="228" t="s">
        <v>192</v>
      </c>
      <c r="D60" s="236"/>
      <c r="E60" s="236"/>
      <c r="F60" s="237">
        <f>IF('Gårdens info'!D9&gt;0,H173,0)</f>
        <v>2327.25</v>
      </c>
      <c r="G60" s="119" t="s">
        <v>57</v>
      </c>
      <c r="H60" s="503">
        <f>IF('Gårdens info'!G9&gt;0,F60/'Gårdens info'!$G$9,0)</f>
        <v>7.7575000000000005E-2</v>
      </c>
      <c r="I60" s="119" t="s">
        <v>206</v>
      </c>
      <c r="J60" s="237">
        <f>F60*'Gårdens info'!D9</f>
        <v>23272.5</v>
      </c>
      <c r="K60" s="119" t="s">
        <v>207</v>
      </c>
      <c r="L60" s="236"/>
      <c r="M60" s="239"/>
    </row>
    <row r="61" spans="1:17" s="5" customFormat="1" ht="17.399999999999999" x14ac:dyDescent="0.3">
      <c r="A61" s="548"/>
      <c r="B61" s="248"/>
      <c r="C61" s="245"/>
      <c r="D61" s="249"/>
      <c r="E61" s="249"/>
      <c r="F61" s="250"/>
      <c r="G61" s="120"/>
      <c r="H61" s="249"/>
      <c r="I61" s="249"/>
      <c r="J61" s="249"/>
      <c r="K61" s="249"/>
      <c r="L61" s="249"/>
      <c r="M61" s="234"/>
    </row>
    <row r="62" spans="1:17" s="5" customFormat="1" ht="21" customHeight="1" x14ac:dyDescent="0.4">
      <c r="A62" s="548"/>
      <c r="B62" s="345" t="s">
        <v>194</v>
      </c>
      <c r="C62" s="346"/>
      <c r="D62" s="346"/>
      <c r="E62" s="262"/>
      <c r="F62" s="266">
        <f>F60</f>
        <v>2327.25</v>
      </c>
      <c r="G62" s="267" t="s">
        <v>57</v>
      </c>
      <c r="H62" s="507">
        <f>H60</f>
        <v>7.7575000000000005E-2</v>
      </c>
      <c r="I62" s="267" t="s">
        <v>206</v>
      </c>
      <c r="J62" s="269">
        <f>J60</f>
        <v>23272.5</v>
      </c>
      <c r="K62" s="267" t="s">
        <v>207</v>
      </c>
      <c r="L62" s="267"/>
      <c r="M62" s="259"/>
    </row>
    <row r="63" spans="1:17" s="5" customFormat="1" ht="21" x14ac:dyDescent="0.4">
      <c r="A63" s="548"/>
      <c r="B63" s="288"/>
      <c r="C63" s="270"/>
      <c r="D63" s="270"/>
      <c r="E63" s="262"/>
      <c r="F63" s="266"/>
      <c r="G63" s="267"/>
      <c r="H63" s="507"/>
      <c r="I63" s="267"/>
      <c r="J63" s="269"/>
      <c r="K63" s="267"/>
      <c r="L63" s="267"/>
      <c r="M63" s="259"/>
    </row>
    <row r="64" spans="1:17" s="5" customFormat="1" ht="21" x14ac:dyDescent="0.4">
      <c r="A64" s="548"/>
      <c r="B64" s="1061" t="s">
        <v>195</v>
      </c>
      <c r="C64" s="1043"/>
      <c r="D64" s="1043"/>
      <c r="E64" s="262"/>
      <c r="F64" s="266">
        <f>F28+F57+F62</f>
        <v>8120.0954964539005</v>
      </c>
      <c r="G64" s="267" t="s">
        <v>57</v>
      </c>
      <c r="H64" s="573">
        <f>H28+H57+H62</f>
        <v>0.27066984988179665</v>
      </c>
      <c r="I64" s="267" t="s">
        <v>206</v>
      </c>
      <c r="J64" s="266">
        <f>J28+J57+J62</f>
        <v>81200.954964539007</v>
      </c>
      <c r="K64" s="267" t="s">
        <v>207</v>
      </c>
      <c r="L64" s="267"/>
      <c r="M64" s="259"/>
    </row>
    <row r="65" spans="1:21" s="5" customFormat="1" ht="21" x14ac:dyDescent="0.4">
      <c r="A65" s="548"/>
      <c r="B65" s="288"/>
      <c r="C65" s="270"/>
      <c r="D65" s="270"/>
      <c r="E65" s="262"/>
      <c r="F65" s="266"/>
      <c r="G65" s="267"/>
      <c r="H65" s="268"/>
      <c r="I65" s="267"/>
      <c r="J65" s="269"/>
      <c r="K65" s="267"/>
      <c r="L65" s="267"/>
      <c r="M65" s="259"/>
    </row>
    <row r="66" spans="1:21" s="5" customFormat="1" ht="21.6" thickBot="1" x14ac:dyDescent="0.45">
      <c r="A66" s="548"/>
      <c r="B66" s="1059" t="s">
        <v>198</v>
      </c>
      <c r="C66" s="1060"/>
      <c r="D66" s="1060"/>
      <c r="E66" s="253"/>
      <c r="F66" s="292">
        <f>F11-F28-F57-F62</f>
        <v>-1150.9954964539002</v>
      </c>
      <c r="G66" s="293" t="s">
        <v>57</v>
      </c>
      <c r="H66" s="510">
        <f>H11-H28-H57-H62</f>
        <v>-3.8366516548463347E-2</v>
      </c>
      <c r="I66" s="293" t="s">
        <v>206</v>
      </c>
      <c r="J66" s="292">
        <f>J11-J28-J57-J62</f>
        <v>-11509.954964539011</v>
      </c>
      <c r="K66" s="293" t="s">
        <v>207</v>
      </c>
      <c r="L66" s="293"/>
      <c r="M66" s="254"/>
    </row>
    <row r="67" spans="1:21" s="5" customFormat="1" ht="21" x14ac:dyDescent="0.4">
      <c r="A67" s="548"/>
      <c r="B67" s="55"/>
      <c r="C67"/>
      <c r="D67"/>
      <c r="E67"/>
      <c r="F67"/>
      <c r="G67"/>
      <c r="H67"/>
      <c r="I67"/>
      <c r="J67"/>
      <c r="K67"/>
      <c r="L67"/>
      <c r="M67"/>
    </row>
    <row r="68" spans="1:21" s="194" customFormat="1" ht="16.2" thickBot="1" x14ac:dyDescent="0.35">
      <c r="A68" s="552"/>
      <c r="B68"/>
      <c r="C68"/>
      <c r="D68"/>
      <c r="E68"/>
      <c r="F68"/>
      <c r="G68"/>
      <c r="H68"/>
      <c r="I68"/>
      <c r="J68"/>
      <c r="K68"/>
      <c r="L68"/>
      <c r="M68"/>
      <c r="N68" s="5"/>
      <c r="O68" s="5"/>
      <c r="P68" s="5"/>
      <c r="Q68" s="5"/>
      <c r="R68" s="5"/>
      <c r="S68" s="5"/>
      <c r="T68" s="5"/>
      <c r="U68" s="5"/>
    </row>
    <row r="69" spans="1:21" s="5" customFormat="1" ht="21.6" thickBot="1" x14ac:dyDescent="0.45">
      <c r="A69" s="548"/>
      <c r="B69" s="1078" t="s">
        <v>240</v>
      </c>
      <c r="C69" s="1079"/>
      <c r="D69" s="1079"/>
      <c r="E69" s="1080"/>
      <c r="F69"/>
      <c r="G69"/>
      <c r="H69"/>
      <c r="I69"/>
      <c r="J69"/>
      <c r="K69"/>
      <c r="L69" s="1073" t="s">
        <v>241</v>
      </c>
      <c r="M69" s="1073"/>
    </row>
    <row r="70" spans="1:21" s="5" customFormat="1" ht="21" x14ac:dyDescent="0.4">
      <c r="A70" s="548"/>
      <c r="B70" s="334"/>
      <c r="C70" s="334"/>
      <c r="D70" s="334"/>
      <c r="E70" s="334"/>
      <c r="F70" s="116"/>
      <c r="G70" s="116"/>
      <c r="H70" s="116"/>
      <c r="I70" s="116"/>
      <c r="J70" s="116"/>
      <c r="K70" s="116"/>
      <c r="L70" s="461"/>
      <c r="M70" s="461"/>
      <c r="N70"/>
      <c r="O70"/>
      <c r="P70"/>
      <c r="Q70"/>
      <c r="R70"/>
      <c r="S70"/>
      <c r="T70"/>
      <c r="U70"/>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245</v>
      </c>
      <c r="D73" s="46"/>
      <c r="E73" s="44"/>
      <c r="F73" s="74">
        <v>2000</v>
      </c>
      <c r="G73" s="44" t="s">
        <v>8</v>
      </c>
      <c r="H73" s="74">
        <v>0.35</v>
      </c>
      <c r="I73" s="49" t="s">
        <v>246</v>
      </c>
      <c r="J73" s="191">
        <f>F73*H73</f>
        <v>700</v>
      </c>
      <c r="K73" s="44" t="s">
        <v>57</v>
      </c>
      <c r="L73" s="44"/>
      <c r="M73" s="46"/>
      <c r="N73" s="5"/>
      <c r="O73" s="5"/>
      <c r="P73" s="5"/>
      <c r="Q73" s="5"/>
      <c r="R73" s="5"/>
      <c r="S73" s="5"/>
      <c r="T73" s="5"/>
      <c r="U73" s="5"/>
    </row>
    <row r="74" spans="1:21" s="5" customFormat="1" x14ac:dyDescent="0.25">
      <c r="A74" s="548"/>
      <c r="B74" s="50"/>
      <c r="C74" s="50" t="s">
        <v>54</v>
      </c>
      <c r="D74" s="466"/>
      <c r="E74" s="50"/>
      <c r="F74" s="218"/>
      <c r="G74" s="50"/>
      <c r="H74" s="467"/>
      <c r="I74" s="219"/>
      <c r="J74" s="220"/>
      <c r="K74" s="50"/>
      <c r="L74" s="50"/>
      <c r="M74" s="50"/>
      <c r="N74"/>
      <c r="O74"/>
      <c r="P74"/>
      <c r="Q74"/>
      <c r="R74"/>
      <c r="S74"/>
      <c r="T74"/>
      <c r="U74"/>
    </row>
    <row r="75" spans="1:21" x14ac:dyDescent="0.25">
      <c r="B75" s="435"/>
      <c r="C75" s="435"/>
      <c r="D75" s="464"/>
      <c r="E75" s="435"/>
      <c r="F75" s="465"/>
      <c r="G75" s="435"/>
      <c r="H75" s="246"/>
      <c r="I75" s="437"/>
      <c r="J75" s="232"/>
      <c r="K75" s="435"/>
      <c r="L75" s="116"/>
      <c r="M75" s="116"/>
      <c r="N75" s="5"/>
      <c r="O75" s="5"/>
      <c r="P75" s="5"/>
      <c r="Q75" s="5"/>
      <c r="R75" s="5"/>
      <c r="S75" s="5"/>
      <c r="T75" s="5"/>
      <c r="U75" s="5"/>
    </row>
    <row r="76" spans="1:21" s="5" customFormat="1" ht="15.6" x14ac:dyDescent="0.3">
      <c r="A76" s="548"/>
      <c r="B76" s="96" t="s">
        <v>247</v>
      </c>
      <c r="C76" s="97"/>
      <c r="D76" s="97"/>
      <c r="E76" s="97"/>
      <c r="F76" s="1074" t="s">
        <v>114</v>
      </c>
      <c r="G76" s="1074"/>
      <c r="H76" s="1074" t="s">
        <v>113</v>
      </c>
      <c r="I76" s="1074"/>
      <c r="J76" s="1074" t="s">
        <v>243</v>
      </c>
      <c r="K76" s="1074"/>
      <c r="L76" s="99"/>
      <c r="M76" s="99"/>
    </row>
    <row r="77" spans="1:21" s="56" customFormat="1" ht="18" thickBot="1" x14ac:dyDescent="0.35">
      <c r="A77" s="550"/>
      <c r="B77" s="97"/>
      <c r="C77" s="97"/>
      <c r="D77" s="97"/>
      <c r="E77" s="97"/>
      <c r="F77" s="97"/>
      <c r="G77" s="97"/>
      <c r="H77" s="98"/>
      <c r="I77" s="98"/>
      <c r="J77" s="99"/>
      <c r="K77" s="99"/>
      <c r="L77" s="99"/>
      <c r="M77" s="99"/>
      <c r="N77" s="5"/>
      <c r="O77" s="5"/>
      <c r="P77" s="5"/>
      <c r="Q77" s="5"/>
      <c r="R77" s="5"/>
      <c r="S77" s="5"/>
      <c r="T77" s="5"/>
      <c r="U77" s="5"/>
    </row>
    <row r="78" spans="1:21" s="69" customFormat="1" ht="18" thickBot="1" x14ac:dyDescent="0.35">
      <c r="A78" s="549"/>
      <c r="B78" s="97"/>
      <c r="C78" s="97" t="s">
        <v>248</v>
      </c>
      <c r="D78" s="99"/>
      <c r="E78" s="97"/>
      <c r="F78" s="94">
        <v>750</v>
      </c>
      <c r="G78" s="97" t="s">
        <v>212</v>
      </c>
      <c r="H78" s="77">
        <v>0.81</v>
      </c>
      <c r="I78" s="98" t="s">
        <v>206</v>
      </c>
      <c r="J78" s="100">
        <f>F78*H78</f>
        <v>607.5</v>
      </c>
      <c r="K78" s="97" t="s">
        <v>57</v>
      </c>
      <c r="L78" s="99"/>
      <c r="M78" s="99"/>
      <c r="N78" s="56"/>
      <c r="O78" s="56"/>
      <c r="P78" s="56"/>
      <c r="Q78" s="56"/>
      <c r="R78" s="56"/>
      <c r="S78" s="56"/>
      <c r="T78" s="56"/>
      <c r="U78" s="56"/>
    </row>
    <row r="79" spans="1:21" s="5" customFormat="1" ht="15.6" thickBot="1" x14ac:dyDescent="0.3">
      <c r="A79" s="548"/>
      <c r="B79" s="97"/>
      <c r="C79" s="97" t="s">
        <v>249</v>
      </c>
      <c r="D79" s="99"/>
      <c r="E79" s="97"/>
      <c r="F79" s="94">
        <v>60</v>
      </c>
      <c r="G79" s="97" t="s">
        <v>212</v>
      </c>
      <c r="H79" s="77">
        <v>1.38</v>
      </c>
      <c r="I79" s="98" t="s">
        <v>206</v>
      </c>
      <c r="J79" s="100">
        <f t="shared" ref="J79:J83" si="7">F79*H79</f>
        <v>82.8</v>
      </c>
      <c r="K79" s="97" t="s">
        <v>57</v>
      </c>
      <c r="L79" s="99"/>
      <c r="M79" s="99"/>
      <c r="N79" s="69"/>
      <c r="O79" s="69"/>
      <c r="P79" s="69"/>
      <c r="Q79" s="69"/>
      <c r="R79" s="69"/>
      <c r="S79" s="69"/>
      <c r="T79" s="69"/>
      <c r="U79" s="69"/>
    </row>
    <row r="80" spans="1:21" s="56" customFormat="1" ht="18" thickBot="1" x14ac:dyDescent="0.35">
      <c r="A80" s="550"/>
      <c r="B80" s="97"/>
      <c r="C80" s="97" t="s">
        <v>250</v>
      </c>
      <c r="D80" s="99"/>
      <c r="E80" s="97"/>
      <c r="F80" s="74">
        <v>150</v>
      </c>
      <c r="G80" s="97" t="s">
        <v>212</v>
      </c>
      <c r="H80" s="77">
        <v>0.6</v>
      </c>
      <c r="I80" s="98" t="s">
        <v>206</v>
      </c>
      <c r="J80" s="100">
        <f t="shared" si="7"/>
        <v>90</v>
      </c>
      <c r="K80" s="97" t="s">
        <v>57</v>
      </c>
      <c r="L80" s="99"/>
      <c r="M80" s="99"/>
      <c r="N80" s="5"/>
      <c r="O80" s="5"/>
      <c r="P80" s="5"/>
      <c r="Q80" s="5"/>
      <c r="R80" s="5"/>
      <c r="S80" s="5"/>
      <c r="T80" s="5"/>
      <c r="U80" s="5"/>
    </row>
    <row r="81" spans="1:21" s="69" customFormat="1" ht="18" thickBot="1" x14ac:dyDescent="0.35">
      <c r="A81" s="549"/>
      <c r="B81" s="97"/>
      <c r="C81" s="97" t="s">
        <v>251</v>
      </c>
      <c r="D81" s="99"/>
      <c r="E81" s="97"/>
      <c r="F81" s="74"/>
      <c r="G81" s="97" t="s">
        <v>212</v>
      </c>
      <c r="H81" s="77"/>
      <c r="I81" s="98" t="s">
        <v>206</v>
      </c>
      <c r="J81" s="100">
        <f t="shared" si="7"/>
        <v>0</v>
      </c>
      <c r="K81" s="97" t="s">
        <v>57</v>
      </c>
      <c r="L81" s="99"/>
      <c r="M81" s="99"/>
      <c r="N81" s="56"/>
      <c r="O81" s="56"/>
      <c r="P81" s="56"/>
      <c r="Q81" s="56"/>
      <c r="R81" s="56"/>
      <c r="S81" s="56"/>
      <c r="T81" s="56"/>
      <c r="U81" s="56"/>
    </row>
    <row r="82" spans="1:21" s="56" customFormat="1" ht="18" thickBot="1" x14ac:dyDescent="0.35">
      <c r="A82" s="550"/>
      <c r="B82" s="97"/>
      <c r="C82" s="97" t="s">
        <v>251</v>
      </c>
      <c r="D82" s="97"/>
      <c r="E82" s="97"/>
      <c r="F82" s="74"/>
      <c r="G82" s="97" t="s">
        <v>212</v>
      </c>
      <c r="H82" s="77"/>
      <c r="I82" s="98" t="s">
        <v>206</v>
      </c>
      <c r="J82" s="100">
        <f t="shared" si="7"/>
        <v>0</v>
      </c>
      <c r="K82" s="97" t="s">
        <v>57</v>
      </c>
      <c r="L82" s="99"/>
      <c r="M82" s="99"/>
      <c r="N82" s="69"/>
      <c r="O82" s="69"/>
      <c r="P82" s="69"/>
      <c r="Q82" s="69"/>
      <c r="R82" s="69"/>
      <c r="S82" s="69"/>
      <c r="T82" s="69"/>
      <c r="U82" s="69"/>
    </row>
    <row r="83" spans="1:21" ht="18" thickBot="1" x14ac:dyDescent="0.35">
      <c r="B83" s="97"/>
      <c r="C83" s="97" t="s">
        <v>251</v>
      </c>
      <c r="D83" s="97"/>
      <c r="E83" s="97"/>
      <c r="F83" s="74"/>
      <c r="G83" s="97" t="s">
        <v>212</v>
      </c>
      <c r="H83" s="77"/>
      <c r="I83" s="98" t="s">
        <v>206</v>
      </c>
      <c r="J83" s="100">
        <f t="shared" si="7"/>
        <v>0</v>
      </c>
      <c r="K83" s="97" t="s">
        <v>57</v>
      </c>
      <c r="L83" s="99"/>
      <c r="M83" s="99"/>
      <c r="N83" s="56"/>
      <c r="O83" s="56"/>
      <c r="P83" s="56"/>
      <c r="Q83" s="56"/>
      <c r="R83" s="56"/>
      <c r="S83" s="56"/>
      <c r="T83" s="56"/>
      <c r="U83" s="56"/>
    </row>
    <row r="84" spans="1:21" s="69" customFormat="1" ht="15" x14ac:dyDescent="0.25">
      <c r="A84" s="549"/>
      <c r="B84" s="214"/>
      <c r="C84" s="214" t="s">
        <v>54</v>
      </c>
      <c r="D84" s="214"/>
      <c r="E84" s="214"/>
      <c r="F84" s="214"/>
      <c r="G84" s="214"/>
      <c r="H84" s="214"/>
      <c r="I84" s="215"/>
      <c r="J84" s="216">
        <f>SUM(J78:J83)</f>
        <v>780.3</v>
      </c>
      <c r="K84" s="214" t="s">
        <v>57</v>
      </c>
      <c r="L84" s="214"/>
      <c r="M84" s="214"/>
      <c r="N84"/>
      <c r="O84"/>
      <c r="P84"/>
      <c r="Q84"/>
      <c r="R84"/>
      <c r="S84"/>
      <c r="T84"/>
      <c r="U84"/>
    </row>
    <row r="85" spans="1:21" s="5" customFormat="1" ht="15" x14ac:dyDescent="0.25">
      <c r="A85" s="548"/>
      <c r="B85" s="97"/>
      <c r="C85" s="97"/>
      <c r="D85" s="97"/>
      <c r="E85" s="97"/>
      <c r="F85" s="97"/>
      <c r="G85" s="97"/>
      <c r="H85" s="97"/>
      <c r="I85" s="98"/>
      <c r="J85" s="100"/>
      <c r="K85" s="97"/>
      <c r="L85" s="99"/>
      <c r="M85" s="99"/>
      <c r="N85" s="69"/>
      <c r="O85" s="69"/>
      <c r="P85" s="69"/>
      <c r="Q85" s="69"/>
      <c r="R85" s="69"/>
      <c r="S85" s="69"/>
      <c r="T85" s="69"/>
      <c r="U85" s="69"/>
    </row>
    <row r="86" spans="1:21" s="5" customFormat="1" x14ac:dyDescent="0.25">
      <c r="A86" s="548"/>
      <c r="B86"/>
      <c r="C86"/>
      <c r="D86"/>
      <c r="E86"/>
      <c r="F86"/>
      <c r="G86"/>
      <c r="H86"/>
      <c r="I86"/>
      <c r="J86"/>
      <c r="K86"/>
      <c r="L86"/>
      <c r="M86"/>
    </row>
    <row r="87" spans="1:21" s="5" customFormat="1" ht="15.6" x14ac:dyDescent="0.3">
      <c r="A87" s="548"/>
      <c r="B87" s="85" t="s">
        <v>252</v>
      </c>
      <c r="C87" s="51"/>
      <c r="D87" s="51"/>
      <c r="E87" s="51"/>
      <c r="F87" s="1075" t="s">
        <v>114</v>
      </c>
      <c r="G87" s="1075"/>
      <c r="H87" s="1076" t="s">
        <v>113</v>
      </c>
      <c r="I87" s="1076"/>
      <c r="J87" s="1075" t="s">
        <v>243</v>
      </c>
      <c r="K87" s="1075"/>
      <c r="L87" s="58"/>
      <c r="M87" s="58"/>
    </row>
    <row r="88" spans="1:21" x14ac:dyDescent="0.25">
      <c r="B88" s="51"/>
      <c r="C88" s="51"/>
      <c r="D88" s="51"/>
      <c r="E88" s="51"/>
      <c r="F88" s="53"/>
      <c r="G88" s="53"/>
      <c r="H88" s="52"/>
      <c r="I88" s="52"/>
      <c r="J88" s="52"/>
      <c r="K88" s="58"/>
      <c r="L88" s="58"/>
      <c r="M88" s="58"/>
    </row>
    <row r="89" spans="1:21" ht="15.6" x14ac:dyDescent="0.3">
      <c r="B89" s="85"/>
      <c r="C89" s="51"/>
      <c r="D89" s="387" t="s">
        <v>253</v>
      </c>
      <c r="E89" s="51"/>
      <c r="F89" s="59"/>
      <c r="G89" s="59"/>
      <c r="H89" s="60"/>
      <c r="I89" s="60"/>
      <c r="J89" s="59"/>
      <c r="K89" s="59"/>
      <c r="L89" s="58"/>
      <c r="M89" s="58"/>
    </row>
    <row r="90" spans="1:21" ht="13.8" thickBot="1" x14ac:dyDescent="0.3">
      <c r="B90" s="171" t="s">
        <v>254</v>
      </c>
      <c r="C90" s="51"/>
      <c r="D90" s="51"/>
      <c r="E90" s="51"/>
      <c r="F90" s="53"/>
      <c r="G90" s="53"/>
      <c r="H90" s="52"/>
      <c r="I90" s="52"/>
      <c r="J90" s="58"/>
      <c r="K90" s="58"/>
      <c r="L90" s="58"/>
      <c r="M90" s="58"/>
    </row>
    <row r="91" spans="1:21" ht="13.8" thickBot="1" x14ac:dyDescent="0.3">
      <c r="B91" s="51"/>
      <c r="C91" s="51" t="s">
        <v>255</v>
      </c>
      <c r="D91" s="58"/>
      <c r="E91" s="51"/>
      <c r="F91" s="95">
        <v>0.4</v>
      </c>
      <c r="G91" s="53" t="s">
        <v>256</v>
      </c>
      <c r="H91" s="77">
        <v>136</v>
      </c>
      <c r="I91" s="52" t="s">
        <v>257</v>
      </c>
      <c r="J91" s="58">
        <f>F91*H91</f>
        <v>54.400000000000006</v>
      </c>
      <c r="K91" s="51" t="s">
        <v>57</v>
      </c>
      <c r="L91" s="58"/>
      <c r="M91" s="58"/>
    </row>
    <row r="92" spans="1:21" ht="13.8" thickBot="1" x14ac:dyDescent="0.3">
      <c r="B92" s="51"/>
      <c r="C92" s="51" t="s">
        <v>258</v>
      </c>
      <c r="D92" s="58"/>
      <c r="E92" s="51"/>
      <c r="F92" s="95">
        <v>0.2</v>
      </c>
      <c r="G92" s="53" t="s">
        <v>256</v>
      </c>
      <c r="H92" s="77">
        <v>47.45</v>
      </c>
      <c r="I92" s="52" t="s">
        <v>206</v>
      </c>
      <c r="J92" s="58">
        <f t="shared" ref="J92:J98" si="8">F92*H92</f>
        <v>9.49</v>
      </c>
      <c r="K92" s="51" t="s">
        <v>57</v>
      </c>
      <c r="L92" s="58"/>
      <c r="M92" s="58"/>
    </row>
    <row r="93" spans="1:21" ht="13.8" thickBot="1" x14ac:dyDescent="0.3">
      <c r="B93" s="51"/>
      <c r="C93" s="51" t="s">
        <v>259</v>
      </c>
      <c r="D93" s="58"/>
      <c r="E93" s="51"/>
      <c r="F93" s="95">
        <v>25</v>
      </c>
      <c r="G93" s="53" t="s">
        <v>260</v>
      </c>
      <c r="H93" s="77">
        <v>0.94</v>
      </c>
      <c r="I93" s="52" t="s">
        <v>261</v>
      </c>
      <c r="J93" s="58">
        <f t="shared" si="8"/>
        <v>23.5</v>
      </c>
      <c r="K93" s="51" t="s">
        <v>57</v>
      </c>
      <c r="L93" s="58"/>
      <c r="M93" s="58"/>
    </row>
    <row r="94" spans="1:21" ht="13.8" thickBot="1" x14ac:dyDescent="0.3">
      <c r="B94" s="51"/>
      <c r="C94" s="51" t="s">
        <v>262</v>
      </c>
      <c r="D94" s="58"/>
      <c r="E94" s="51"/>
      <c r="F94" s="95">
        <v>0.6</v>
      </c>
      <c r="G94" s="53" t="s">
        <v>256</v>
      </c>
      <c r="H94" s="77">
        <v>54</v>
      </c>
      <c r="I94" s="52" t="s">
        <v>257</v>
      </c>
      <c r="J94" s="463">
        <f t="shared" si="8"/>
        <v>32.4</v>
      </c>
      <c r="K94" s="51" t="s">
        <v>57</v>
      </c>
      <c r="L94" s="58"/>
      <c r="M94" s="58"/>
    </row>
    <row r="95" spans="1:21" ht="13.8" thickBot="1" x14ac:dyDescent="0.3">
      <c r="B95" s="51"/>
      <c r="C95" s="51" t="s">
        <v>263</v>
      </c>
      <c r="D95" s="58"/>
      <c r="E95" s="51"/>
      <c r="F95" s="95">
        <f>1.4*3</f>
        <v>4.1999999999999993</v>
      </c>
      <c r="G95" s="53" t="s">
        <v>256</v>
      </c>
      <c r="H95" s="77">
        <v>24</v>
      </c>
      <c r="I95" s="52" t="s">
        <v>257</v>
      </c>
      <c r="J95" s="58">
        <f t="shared" si="8"/>
        <v>100.79999999999998</v>
      </c>
      <c r="K95" s="51" t="s">
        <v>57</v>
      </c>
      <c r="L95" s="58"/>
      <c r="M95" s="58"/>
    </row>
    <row r="96" spans="1:21" ht="13.8" thickBot="1" x14ac:dyDescent="0.3">
      <c r="B96" s="51"/>
      <c r="C96" s="51" t="s">
        <v>264</v>
      </c>
      <c r="D96" s="51"/>
      <c r="E96" s="51"/>
      <c r="F96" s="95">
        <v>0.5</v>
      </c>
      <c r="G96" s="53" t="s">
        <v>256</v>
      </c>
      <c r="H96" s="77">
        <v>57</v>
      </c>
      <c r="I96" s="52" t="s">
        <v>257</v>
      </c>
      <c r="J96" s="58">
        <f t="shared" si="8"/>
        <v>28.5</v>
      </c>
      <c r="K96" s="51" t="s">
        <v>57</v>
      </c>
      <c r="L96" s="58"/>
      <c r="M96" s="58"/>
    </row>
    <row r="97" spans="1:21" ht="13.8" thickBot="1" x14ac:dyDescent="0.3">
      <c r="B97" s="51"/>
      <c r="C97" s="51" t="s">
        <v>265</v>
      </c>
      <c r="D97" s="51"/>
      <c r="E97" s="51"/>
      <c r="F97" s="95"/>
      <c r="G97" s="53" t="s">
        <v>256</v>
      </c>
      <c r="H97" s="77"/>
      <c r="I97" s="52" t="s">
        <v>257</v>
      </c>
      <c r="J97" s="58">
        <f t="shared" ref="J97" si="9">F97*H97</f>
        <v>0</v>
      </c>
      <c r="K97" s="51" t="s">
        <v>57</v>
      </c>
      <c r="L97" s="58"/>
      <c r="M97" s="58"/>
    </row>
    <row r="98" spans="1:21" ht="13.8" thickBot="1" x14ac:dyDescent="0.3">
      <c r="B98" s="51"/>
      <c r="C98" s="51" t="s">
        <v>265</v>
      </c>
      <c r="D98" s="51"/>
      <c r="E98" s="51"/>
      <c r="F98" s="95"/>
      <c r="G98" s="53" t="s">
        <v>256</v>
      </c>
      <c r="H98" s="77"/>
      <c r="I98" s="52" t="s">
        <v>257</v>
      </c>
      <c r="J98" s="58">
        <f t="shared" si="8"/>
        <v>0</v>
      </c>
      <c r="K98" s="51" t="s">
        <v>57</v>
      </c>
      <c r="L98" s="58"/>
      <c r="M98" s="58"/>
    </row>
    <row r="99" spans="1:21" x14ac:dyDescent="0.25">
      <c r="B99" s="51"/>
      <c r="C99" s="51"/>
      <c r="D99" s="51"/>
      <c r="E99" s="51"/>
      <c r="F99" s="53"/>
      <c r="G99" s="53"/>
      <c r="H99" s="52"/>
      <c r="I99" s="52"/>
      <c r="J99" s="58"/>
      <c r="K99" s="51"/>
      <c r="L99" s="58"/>
      <c r="M99" s="58"/>
    </row>
    <row r="100" spans="1:21" ht="13.8" thickBot="1" x14ac:dyDescent="0.3">
      <c r="B100" s="171" t="s">
        <v>266</v>
      </c>
      <c r="C100" s="51"/>
      <c r="D100" s="51"/>
      <c r="E100" s="51"/>
      <c r="F100" s="53"/>
      <c r="G100" s="53"/>
      <c r="H100" s="52"/>
      <c r="I100" s="52"/>
      <c r="J100" s="58"/>
      <c r="K100" s="51"/>
      <c r="L100" s="58"/>
      <c r="M100" s="58"/>
    </row>
    <row r="101" spans="1:21" ht="13.8" thickBot="1" x14ac:dyDescent="0.3">
      <c r="B101" s="51"/>
      <c r="C101" s="51" t="s">
        <v>267</v>
      </c>
      <c r="D101" s="51"/>
      <c r="E101" s="51"/>
      <c r="F101" s="95"/>
      <c r="G101" s="53" t="s">
        <v>260</v>
      </c>
      <c r="H101" s="95"/>
      <c r="I101" s="52" t="s">
        <v>261</v>
      </c>
      <c r="J101" s="58">
        <f t="shared" ref="J101:J105" si="10">F101*H101</f>
        <v>0</v>
      </c>
      <c r="K101" s="51" t="s">
        <v>57</v>
      </c>
      <c r="L101" s="58"/>
      <c r="M101" s="58"/>
    </row>
    <row r="102" spans="1:21" ht="13.8" thickBot="1" x14ac:dyDescent="0.3">
      <c r="B102" s="51"/>
      <c r="C102" s="51" t="s">
        <v>267</v>
      </c>
      <c r="D102" s="51"/>
      <c r="E102" s="51"/>
      <c r="F102" s="95"/>
      <c r="G102" s="53" t="s">
        <v>256</v>
      </c>
      <c r="H102" s="95"/>
      <c r="I102" s="52" t="s">
        <v>257</v>
      </c>
      <c r="J102" s="58">
        <f t="shared" si="10"/>
        <v>0</v>
      </c>
      <c r="K102" s="51" t="s">
        <v>57</v>
      </c>
      <c r="L102" s="58"/>
      <c r="M102" s="58"/>
    </row>
    <row r="103" spans="1:21" ht="13.8" thickBot="1" x14ac:dyDescent="0.3">
      <c r="B103" s="51"/>
      <c r="C103" s="51" t="s">
        <v>267</v>
      </c>
      <c r="D103" s="51"/>
      <c r="E103" s="51"/>
      <c r="F103" s="95"/>
      <c r="G103" s="53" t="s">
        <v>256</v>
      </c>
      <c r="H103" s="95"/>
      <c r="I103" s="52" t="s">
        <v>257</v>
      </c>
      <c r="J103" s="58">
        <f t="shared" si="10"/>
        <v>0</v>
      </c>
      <c r="K103" s="51" t="s">
        <v>57</v>
      </c>
      <c r="L103" s="58"/>
      <c r="M103" s="58"/>
    </row>
    <row r="104" spans="1:21" ht="13.8" thickBot="1" x14ac:dyDescent="0.3">
      <c r="B104" s="51"/>
      <c r="C104" s="51" t="s">
        <v>267</v>
      </c>
      <c r="D104" s="51"/>
      <c r="E104" s="51"/>
      <c r="F104" s="95"/>
      <c r="G104" s="53" t="s">
        <v>256</v>
      </c>
      <c r="H104" s="95"/>
      <c r="I104" s="52" t="s">
        <v>257</v>
      </c>
      <c r="J104" s="58">
        <f t="shared" si="10"/>
        <v>0</v>
      </c>
      <c r="K104" s="51" t="s">
        <v>57</v>
      </c>
      <c r="L104" s="58"/>
      <c r="M104" s="58"/>
    </row>
    <row r="105" spans="1:21" ht="13.8" thickBot="1" x14ac:dyDescent="0.3">
      <c r="B105" s="51"/>
      <c r="C105" s="51" t="s">
        <v>267</v>
      </c>
      <c r="D105" s="51"/>
      <c r="E105" s="51"/>
      <c r="F105" s="95"/>
      <c r="G105" s="53" t="s">
        <v>256</v>
      </c>
      <c r="H105" s="95"/>
      <c r="I105" s="52" t="s">
        <v>257</v>
      </c>
      <c r="J105" s="58">
        <f t="shared" si="10"/>
        <v>0</v>
      </c>
      <c r="K105" s="51" t="s">
        <v>57</v>
      </c>
      <c r="L105" s="58"/>
      <c r="M105" s="58"/>
      <c r="N105" s="5"/>
      <c r="O105" s="5"/>
      <c r="P105" s="5"/>
      <c r="Q105" s="5"/>
      <c r="R105" s="5"/>
      <c r="S105" s="5"/>
      <c r="T105" s="5"/>
      <c r="U105" s="5"/>
    </row>
    <row r="106" spans="1:21" s="5" customFormat="1" x14ac:dyDescent="0.25">
      <c r="A106" s="548"/>
      <c r="B106" s="195"/>
      <c r="C106" s="195" t="s">
        <v>54</v>
      </c>
      <c r="D106" s="195"/>
      <c r="E106" s="195"/>
      <c r="F106" s="196"/>
      <c r="G106" s="196"/>
      <c r="H106" s="196"/>
      <c r="I106" s="197"/>
      <c r="J106" s="197">
        <f>SUM(J91:J105)</f>
        <v>249.09</v>
      </c>
      <c r="K106" s="195" t="s">
        <v>57</v>
      </c>
      <c r="L106" s="195"/>
      <c r="M106" s="195"/>
      <c r="N106"/>
      <c r="O106"/>
      <c r="P106"/>
      <c r="Q106"/>
      <c r="R106"/>
      <c r="S106"/>
      <c r="T106"/>
      <c r="U106"/>
    </row>
    <row r="107" spans="1:21" x14ac:dyDescent="0.25">
      <c r="B107" s="51"/>
      <c r="C107" s="51"/>
      <c r="D107" s="51"/>
      <c r="E107" s="51"/>
      <c r="F107" s="53"/>
      <c r="G107" s="53"/>
      <c r="H107" s="52"/>
      <c r="I107" s="52"/>
      <c r="J107" s="58"/>
      <c r="K107" s="51"/>
      <c r="L107" s="58"/>
      <c r="M107" s="58"/>
    </row>
    <row r="108" spans="1:21" x14ac:dyDescent="0.25">
      <c r="A108" s="553"/>
    </row>
    <row r="109" spans="1:21" ht="15.6" x14ac:dyDescent="0.3">
      <c r="A109" s="553"/>
      <c r="B109" s="86" t="s">
        <v>268</v>
      </c>
      <c r="C109" s="61"/>
      <c r="D109" s="61"/>
      <c r="E109" s="61"/>
      <c r="F109" s="1071" t="s">
        <v>114</v>
      </c>
      <c r="G109" s="1071"/>
      <c r="H109" s="1071" t="s">
        <v>113</v>
      </c>
      <c r="I109" s="1071"/>
      <c r="J109" s="1071" t="s">
        <v>243</v>
      </c>
      <c r="K109" s="1071"/>
      <c r="L109" s="63"/>
      <c r="M109" s="63"/>
    </row>
    <row r="110" spans="1:21" ht="13.8" thickBot="1" x14ac:dyDescent="0.3">
      <c r="A110" s="553"/>
      <c r="B110" s="61"/>
      <c r="C110" s="61"/>
      <c r="D110" s="61"/>
      <c r="E110" s="61"/>
      <c r="F110" s="61"/>
      <c r="G110" s="61"/>
      <c r="H110" s="62"/>
      <c r="I110" s="62"/>
      <c r="J110" s="63"/>
      <c r="K110" s="63"/>
      <c r="L110" s="63"/>
      <c r="M110" s="63"/>
    </row>
    <row r="111" spans="1:21" ht="13.8" thickBot="1" x14ac:dyDescent="0.3">
      <c r="A111" s="553"/>
      <c r="B111" s="61"/>
      <c r="C111" s="61" t="s">
        <v>269</v>
      </c>
      <c r="D111" s="63"/>
      <c r="E111" s="61"/>
      <c r="F111" s="388">
        <f>S10*'Gårdens info'!G9/2</f>
        <v>15000</v>
      </c>
      <c r="G111" s="61" t="s">
        <v>31</v>
      </c>
      <c r="H111" s="77">
        <v>0.01</v>
      </c>
      <c r="I111" s="62" t="s">
        <v>246</v>
      </c>
      <c r="J111" s="64">
        <f>F111*H111</f>
        <v>150</v>
      </c>
      <c r="K111" s="61" t="s">
        <v>57</v>
      </c>
      <c r="L111" s="63"/>
      <c r="M111" s="63"/>
    </row>
    <row r="112" spans="1:21" ht="13.8" thickBot="1" x14ac:dyDescent="0.3">
      <c r="A112" s="553"/>
      <c r="B112" s="61"/>
      <c r="C112" s="61" t="s">
        <v>270</v>
      </c>
      <c r="D112" s="63"/>
      <c r="E112" s="61"/>
      <c r="F112" s="388">
        <f>S11*'Gårdens info'!G9/0.5</f>
        <v>0</v>
      </c>
      <c r="G112" s="61" t="s">
        <v>31</v>
      </c>
      <c r="H112" s="77">
        <v>0.01</v>
      </c>
      <c r="I112" s="62" t="s">
        <v>246</v>
      </c>
      <c r="J112" s="64">
        <f t="shared" ref="J112:J117" si="11">F112*H112</f>
        <v>0</v>
      </c>
      <c r="K112" s="61" t="s">
        <v>57</v>
      </c>
      <c r="L112" s="63"/>
      <c r="M112" s="63"/>
    </row>
    <row r="113" spans="1:21" ht="13.8" thickBot="1" x14ac:dyDescent="0.3">
      <c r="A113" s="553"/>
      <c r="B113" s="61"/>
      <c r="C113" s="61" t="s">
        <v>271</v>
      </c>
      <c r="D113" s="63"/>
      <c r="E113" s="61"/>
      <c r="F113" s="388">
        <f>S12*'Gårdens info'!G9/10</f>
        <v>0</v>
      </c>
      <c r="G113" s="61" t="s">
        <v>31</v>
      </c>
      <c r="H113" s="77">
        <v>0.02</v>
      </c>
      <c r="I113" s="62" t="s">
        <v>246</v>
      </c>
      <c r="J113" s="64">
        <f t="shared" si="11"/>
        <v>0</v>
      </c>
      <c r="K113" s="61" t="s">
        <v>57</v>
      </c>
      <c r="L113" s="63"/>
      <c r="M113" s="63"/>
    </row>
    <row r="114" spans="1:21" ht="13.8" thickBot="1" x14ac:dyDescent="0.3">
      <c r="A114" s="553"/>
      <c r="B114" s="61"/>
      <c r="C114" s="95" t="s">
        <v>272</v>
      </c>
      <c r="D114" s="95"/>
      <c r="E114" s="61" t="s">
        <v>212</v>
      </c>
      <c r="F114" s="388">
        <f>IF(S13&gt;0,(S13*'Gårdens info'!$G$12/D114),0)</f>
        <v>0</v>
      </c>
      <c r="G114" s="61" t="s">
        <v>31</v>
      </c>
      <c r="H114" s="77"/>
      <c r="I114" s="62" t="s">
        <v>246</v>
      </c>
      <c r="J114" s="64">
        <f t="shared" si="11"/>
        <v>0</v>
      </c>
      <c r="K114" s="61" t="s">
        <v>57</v>
      </c>
      <c r="L114" s="63"/>
      <c r="M114" s="63"/>
    </row>
    <row r="115" spans="1:21" ht="13.8" thickBot="1" x14ac:dyDescent="0.3">
      <c r="A115" s="553"/>
      <c r="B115" s="61"/>
      <c r="C115" s="95" t="s">
        <v>272</v>
      </c>
      <c r="D115" s="95"/>
      <c r="E115" s="61" t="s">
        <v>212</v>
      </c>
      <c r="F115" s="388">
        <f>IF(S14&gt;0,(S14*'Gårdens info'!$G$12/D115),0)</f>
        <v>0</v>
      </c>
      <c r="G115" s="61" t="s">
        <v>31</v>
      </c>
      <c r="H115" s="77"/>
      <c r="I115" s="62" t="s">
        <v>246</v>
      </c>
      <c r="J115" s="64">
        <f t="shared" si="11"/>
        <v>0</v>
      </c>
      <c r="K115" s="61" t="s">
        <v>57</v>
      </c>
      <c r="L115" s="63"/>
      <c r="M115" s="63"/>
    </row>
    <row r="116" spans="1:21" ht="13.8" thickBot="1" x14ac:dyDescent="0.3">
      <c r="A116" s="553"/>
      <c r="B116" s="61"/>
      <c r="C116" s="95" t="s">
        <v>272</v>
      </c>
      <c r="D116" s="95"/>
      <c r="E116" s="61" t="s">
        <v>212</v>
      </c>
      <c r="F116" s="388">
        <f>IF(S15&gt;0,(S15*'Gårdens info'!$G$12/D116),0)</f>
        <v>0</v>
      </c>
      <c r="G116" s="61" t="s">
        <v>31</v>
      </c>
      <c r="H116" s="77"/>
      <c r="I116" s="62" t="s">
        <v>246</v>
      </c>
      <c r="J116" s="64">
        <f t="shared" si="11"/>
        <v>0</v>
      </c>
      <c r="K116" s="61" t="s">
        <v>57</v>
      </c>
      <c r="L116" s="63"/>
      <c r="M116" s="63"/>
    </row>
    <row r="117" spans="1:21" ht="13.8" thickBot="1" x14ac:dyDescent="0.3">
      <c r="A117" s="553"/>
      <c r="B117" s="61"/>
      <c r="C117" s="95" t="s">
        <v>272</v>
      </c>
      <c r="D117" s="95"/>
      <c r="E117" s="61" t="s">
        <v>212</v>
      </c>
      <c r="F117" s="388">
        <f>IF(S16&gt;0,(S16*'Gårdens info'!$G$12/D117),0)</f>
        <v>0</v>
      </c>
      <c r="G117" s="61" t="s">
        <v>31</v>
      </c>
      <c r="H117" s="77"/>
      <c r="I117" s="62" t="s">
        <v>246</v>
      </c>
      <c r="J117" s="64">
        <f t="shared" si="11"/>
        <v>0</v>
      </c>
      <c r="K117" s="61" t="s">
        <v>57</v>
      </c>
      <c r="L117" s="63"/>
      <c r="M117" s="63"/>
    </row>
    <row r="118" spans="1:21" x14ac:dyDescent="0.25">
      <c r="A118" s="553"/>
      <c r="B118" s="198"/>
      <c r="C118" s="198" t="s">
        <v>54</v>
      </c>
      <c r="D118" s="198"/>
      <c r="E118" s="198"/>
      <c r="F118" s="198"/>
      <c r="G118" s="198"/>
      <c r="H118" s="199"/>
      <c r="I118" s="199"/>
      <c r="J118" s="200">
        <f>SUM(J111:J117)</f>
        <v>150</v>
      </c>
      <c r="K118" s="198" t="s">
        <v>57</v>
      </c>
      <c r="L118" s="198"/>
      <c r="M118" s="198"/>
    </row>
    <row r="119" spans="1:21" x14ac:dyDescent="0.25">
      <c r="A119" s="553"/>
      <c r="B119" s="61"/>
      <c r="C119" s="61"/>
      <c r="D119" s="61"/>
      <c r="E119" s="61"/>
      <c r="F119" s="61"/>
      <c r="G119" s="61"/>
      <c r="H119" s="62"/>
      <c r="I119" s="62"/>
      <c r="J119" s="64"/>
      <c r="K119" s="61"/>
      <c r="L119" s="63"/>
      <c r="M119" s="63"/>
    </row>
    <row r="120" spans="1:21" x14ac:dyDescent="0.25">
      <c r="A120" s="553"/>
    </row>
    <row r="121" spans="1:21" s="5" customFormat="1" ht="15.6" x14ac:dyDescent="0.3">
      <c r="A121" s="667"/>
      <c r="B121" s="87" t="s">
        <v>273</v>
      </c>
      <c r="C121" s="65"/>
      <c r="D121" s="65"/>
      <c r="E121" s="65"/>
      <c r="F121" s="1072" t="s">
        <v>114</v>
      </c>
      <c r="G121" s="1072"/>
      <c r="H121" s="1072" t="s">
        <v>113</v>
      </c>
      <c r="I121" s="1072"/>
      <c r="J121" s="1072" t="s">
        <v>243</v>
      </c>
      <c r="K121" s="1072"/>
      <c r="L121" s="67"/>
      <c r="M121" s="67"/>
      <c r="N121"/>
      <c r="O121"/>
      <c r="P121"/>
      <c r="Q121"/>
      <c r="R121"/>
      <c r="S121"/>
      <c r="T121"/>
      <c r="U121"/>
    </row>
    <row r="122" spans="1:21" ht="13.8" thickBot="1" x14ac:dyDescent="0.3">
      <c r="A122" s="553"/>
      <c r="B122" s="65"/>
      <c r="C122" s="65"/>
      <c r="D122" s="65"/>
      <c r="E122" s="65"/>
      <c r="F122" s="65"/>
      <c r="G122" s="65"/>
      <c r="H122" s="66"/>
      <c r="I122" s="66"/>
      <c r="J122" s="67"/>
      <c r="K122" s="67"/>
      <c r="L122" s="67"/>
      <c r="M122" s="67"/>
      <c r="N122" s="5"/>
      <c r="O122" s="5"/>
      <c r="P122" s="5"/>
      <c r="Q122" s="5"/>
      <c r="R122" s="5"/>
      <c r="S122" s="5"/>
      <c r="T122" s="5"/>
      <c r="U122" s="5"/>
    </row>
    <row r="123" spans="1:21" ht="13.8" thickBot="1" x14ac:dyDescent="0.3">
      <c r="A123" s="553"/>
      <c r="B123" s="65"/>
      <c r="C123" s="65" t="s">
        <v>222</v>
      </c>
      <c r="D123" s="67"/>
      <c r="E123" s="65"/>
      <c r="F123" s="74">
        <f>'Gårdens info'!G9*'Gårdens info'!D9*0.8</f>
        <v>240000</v>
      </c>
      <c r="G123" s="65" t="s">
        <v>212</v>
      </c>
      <c r="H123" s="77">
        <v>0.02</v>
      </c>
      <c r="I123" s="66" t="s">
        <v>206</v>
      </c>
      <c r="J123" s="68">
        <f t="shared" ref="J123:J125" si="12">F123*H123</f>
        <v>4800</v>
      </c>
      <c r="K123" s="65" t="s">
        <v>57</v>
      </c>
      <c r="L123" s="67"/>
      <c r="M123" s="67"/>
    </row>
    <row r="124" spans="1:21" ht="13.8" thickBot="1" x14ac:dyDescent="0.3">
      <c r="A124" s="553"/>
      <c r="B124" s="65"/>
      <c r="C124" s="65" t="s">
        <v>274</v>
      </c>
      <c r="D124" s="65"/>
      <c r="E124" s="65"/>
      <c r="F124" s="74"/>
      <c r="G124" s="65" t="s">
        <v>212</v>
      </c>
      <c r="H124" s="77"/>
      <c r="I124" s="66" t="s">
        <v>206</v>
      </c>
      <c r="J124" s="68">
        <f t="shared" si="12"/>
        <v>0</v>
      </c>
      <c r="K124" s="65" t="s">
        <v>57</v>
      </c>
      <c r="L124" s="67"/>
      <c r="M124" s="67"/>
    </row>
    <row r="125" spans="1:21" ht="13.8" thickBot="1" x14ac:dyDescent="0.3">
      <c r="A125" s="553"/>
      <c r="B125" s="65"/>
      <c r="C125" s="65" t="s">
        <v>274</v>
      </c>
      <c r="D125" s="65"/>
      <c r="E125" s="65"/>
      <c r="F125" s="74"/>
      <c r="G125" s="65" t="s">
        <v>212</v>
      </c>
      <c r="H125" s="77"/>
      <c r="I125" s="66" t="s">
        <v>206</v>
      </c>
      <c r="J125" s="68">
        <f t="shared" si="12"/>
        <v>0</v>
      </c>
      <c r="K125" s="65" t="s">
        <v>57</v>
      </c>
      <c r="L125" s="67"/>
      <c r="M125" s="67"/>
    </row>
    <row r="126" spans="1:21" x14ac:dyDescent="0.25">
      <c r="A126" s="553"/>
      <c r="B126" s="201"/>
      <c r="C126" s="201" t="s">
        <v>54</v>
      </c>
      <c r="D126" s="201"/>
      <c r="E126" s="201"/>
      <c r="F126" s="201"/>
      <c r="G126" s="201"/>
      <c r="H126" s="202"/>
      <c r="I126" s="202"/>
      <c r="J126" s="203">
        <f>SUM(J123:J125)</f>
        <v>4800</v>
      </c>
      <c r="K126" s="201" t="s">
        <v>57</v>
      </c>
      <c r="L126" s="201"/>
      <c r="M126" s="201"/>
    </row>
    <row r="127" spans="1:21" x14ac:dyDescent="0.25">
      <c r="A127" s="553"/>
      <c r="B127" s="65"/>
      <c r="C127" s="65"/>
      <c r="D127" s="65"/>
      <c r="E127" s="65"/>
      <c r="F127" s="65"/>
      <c r="G127" s="65"/>
      <c r="H127" s="66"/>
      <c r="I127" s="66"/>
      <c r="J127" s="68"/>
      <c r="K127" s="65"/>
      <c r="L127" s="67"/>
      <c r="M127" s="67"/>
    </row>
    <row r="128" spans="1:21" x14ac:dyDescent="0.25">
      <c r="A128" s="553"/>
    </row>
    <row r="129" spans="1:21" ht="15.6" x14ac:dyDescent="0.3">
      <c r="A129" s="553"/>
      <c r="B129" s="176" t="s">
        <v>275</v>
      </c>
      <c r="C129" s="177"/>
      <c r="D129" s="177"/>
      <c r="E129" s="177"/>
      <c r="F129" s="1067" t="s">
        <v>114</v>
      </c>
      <c r="G129" s="1067"/>
      <c r="H129" s="1067" t="s">
        <v>113</v>
      </c>
      <c r="I129" s="1067"/>
      <c r="J129" s="1067" t="s">
        <v>243</v>
      </c>
      <c r="K129" s="1067"/>
      <c r="L129" s="179"/>
      <c r="M129" s="179"/>
    </row>
    <row r="130" spans="1:21" ht="13.8" thickBot="1" x14ac:dyDescent="0.3">
      <c r="A130" s="553"/>
      <c r="B130" s="177"/>
      <c r="C130" s="177"/>
      <c r="D130" s="177"/>
      <c r="E130" s="177"/>
      <c r="F130" s="177"/>
      <c r="G130" s="177"/>
      <c r="H130" s="178"/>
      <c r="I130" s="178"/>
      <c r="J130" s="179"/>
      <c r="K130" s="179"/>
      <c r="L130" s="179"/>
      <c r="M130" s="179"/>
    </row>
    <row r="131" spans="1:21" ht="13.8" thickBot="1" x14ac:dyDescent="0.3">
      <c r="A131" s="553"/>
      <c r="B131" s="177"/>
      <c r="C131" s="177" t="s">
        <v>276</v>
      </c>
      <c r="D131" s="179"/>
      <c r="E131" s="177"/>
      <c r="F131" s="74"/>
      <c r="G131" s="177" t="s">
        <v>7</v>
      </c>
      <c r="H131" s="77"/>
      <c r="I131" s="178" t="s">
        <v>57</v>
      </c>
      <c r="J131" s="180">
        <f t="shared" ref="J131:J133" si="13">F131*H131</f>
        <v>0</v>
      </c>
      <c r="K131" s="177" t="s">
        <v>57</v>
      </c>
      <c r="L131" s="179"/>
      <c r="M131" s="179"/>
    </row>
    <row r="132" spans="1:21" ht="13.8" thickBot="1" x14ac:dyDescent="0.3">
      <c r="B132" s="177"/>
      <c r="C132" s="177" t="s">
        <v>276</v>
      </c>
      <c r="D132" s="177"/>
      <c r="E132" s="177"/>
      <c r="F132" s="74"/>
      <c r="G132" s="177" t="s">
        <v>7</v>
      </c>
      <c r="H132" s="77"/>
      <c r="I132" s="178" t="s">
        <v>57</v>
      </c>
      <c r="J132" s="180">
        <f t="shared" si="13"/>
        <v>0</v>
      </c>
      <c r="K132" s="177" t="s">
        <v>57</v>
      </c>
      <c r="L132" s="179"/>
      <c r="M132" s="179"/>
    </row>
    <row r="133" spans="1:21" ht="13.8" thickBot="1" x14ac:dyDescent="0.3">
      <c r="B133" s="177"/>
      <c r="C133" s="177" t="s">
        <v>276</v>
      </c>
      <c r="D133" s="177"/>
      <c r="E133" s="177"/>
      <c r="F133" s="74"/>
      <c r="G133" s="177" t="s">
        <v>7</v>
      </c>
      <c r="H133" s="77"/>
      <c r="I133" s="178" t="s">
        <v>57</v>
      </c>
      <c r="J133" s="180">
        <f t="shared" si="13"/>
        <v>0</v>
      </c>
      <c r="K133" s="177" t="s">
        <v>57</v>
      </c>
      <c r="L133" s="179"/>
      <c r="M133" s="179"/>
    </row>
    <row r="134" spans="1:21" s="5" customFormat="1" x14ac:dyDescent="0.25">
      <c r="A134" s="548"/>
      <c r="B134" s="204"/>
      <c r="C134" s="204" t="s">
        <v>54</v>
      </c>
      <c r="D134" s="204"/>
      <c r="E134" s="204"/>
      <c r="F134" s="204"/>
      <c r="G134" s="204"/>
      <c r="H134" s="205"/>
      <c r="I134" s="205"/>
      <c r="J134" s="206">
        <f>SUM(J131:J133)</f>
        <v>0</v>
      </c>
      <c r="K134" s="204" t="s">
        <v>57</v>
      </c>
      <c r="L134" s="204"/>
      <c r="M134" s="204"/>
      <c r="N134"/>
      <c r="O134"/>
      <c r="P134"/>
      <c r="Q134"/>
      <c r="R134"/>
      <c r="S134"/>
      <c r="T134"/>
      <c r="U134"/>
    </row>
    <row r="135" spans="1:21" x14ac:dyDescent="0.25">
      <c r="B135" s="177"/>
      <c r="C135" s="177"/>
      <c r="D135" s="177"/>
      <c r="E135" s="177"/>
      <c r="F135" s="177"/>
      <c r="G135" s="177"/>
      <c r="H135" s="178"/>
      <c r="I135" s="178"/>
      <c r="J135" s="180"/>
      <c r="K135" s="177"/>
      <c r="L135" s="179"/>
      <c r="M135" s="179"/>
      <c r="N135" s="5"/>
      <c r="O135" s="5"/>
      <c r="P135" s="5"/>
      <c r="Q135" s="5"/>
      <c r="R135" s="5"/>
      <c r="S135" s="5"/>
      <c r="T135" s="5"/>
      <c r="U135" s="5"/>
    </row>
    <row r="136" spans="1:21" ht="30" customHeight="1" x14ac:dyDescent="0.25"/>
    <row r="137" spans="1:21" ht="15.6" x14ac:dyDescent="0.3">
      <c r="B137" s="181" t="s">
        <v>277</v>
      </c>
      <c r="C137" s="182"/>
      <c r="D137" s="182"/>
      <c r="E137" s="183"/>
      <c r="F137" s="928" t="s">
        <v>114</v>
      </c>
      <c r="G137" s="184"/>
      <c r="H137" s="184" t="s">
        <v>113</v>
      </c>
      <c r="I137" s="182"/>
      <c r="J137" s="182"/>
      <c r="K137" s="185"/>
      <c r="L137" s="185"/>
      <c r="M137" s="185"/>
    </row>
    <row r="138" spans="1:21" ht="16.2" thickBot="1" x14ac:dyDescent="0.35">
      <c r="B138" s="181"/>
      <c r="C138" s="182"/>
      <c r="D138" s="182"/>
      <c r="E138" s="183"/>
      <c r="F138" s="182"/>
      <c r="G138" s="184"/>
      <c r="H138" s="184"/>
      <c r="I138" s="182"/>
      <c r="J138" s="182"/>
      <c r="K138" s="185"/>
      <c r="L138" s="185"/>
      <c r="M138" s="185"/>
    </row>
    <row r="139" spans="1:21" ht="13.8" thickBot="1" x14ac:dyDescent="0.3">
      <c r="B139" s="182"/>
      <c r="C139" s="182" t="s">
        <v>278</v>
      </c>
      <c r="D139" s="185"/>
      <c r="E139" s="186"/>
      <c r="F139" s="74">
        <v>2000</v>
      </c>
      <c r="G139" s="187" t="s">
        <v>279</v>
      </c>
      <c r="H139" s="74">
        <v>0.15</v>
      </c>
      <c r="I139" s="188" t="s">
        <v>280</v>
      </c>
      <c r="J139" s="185">
        <f>H139*F139</f>
        <v>300</v>
      </c>
      <c r="K139" s="188" t="s">
        <v>57</v>
      </c>
      <c r="L139" s="185"/>
      <c r="M139" s="185"/>
    </row>
    <row r="140" spans="1:21" ht="13.8" thickBot="1" x14ac:dyDescent="0.3">
      <c r="B140" s="182"/>
      <c r="C140" s="182" t="s">
        <v>281</v>
      </c>
      <c r="D140" s="188">
        <f>(F155+F156+F158+F159+F160+F164+F163+F165+(F166/2)+(F167/2))</f>
        <v>49.5</v>
      </c>
      <c r="E140" s="182" t="s">
        <v>282</v>
      </c>
      <c r="F140" s="74">
        <f>+D140*8</f>
        <v>396</v>
      </c>
      <c r="G140" s="184" t="s">
        <v>256</v>
      </c>
      <c r="H140" s="74">
        <v>0.83</v>
      </c>
      <c r="I140" s="188" t="s">
        <v>257</v>
      </c>
      <c r="J140" s="185">
        <f>H140*F140</f>
        <v>328.68</v>
      </c>
      <c r="K140" s="188" t="s">
        <v>57</v>
      </c>
      <c r="L140" s="185"/>
      <c r="M140" s="185"/>
    </row>
    <row r="141" spans="1:21" ht="13.8" thickBot="1" x14ac:dyDescent="0.3">
      <c r="B141" s="182"/>
      <c r="C141" s="182" t="s">
        <v>283</v>
      </c>
      <c r="D141" s="188">
        <f>D140</f>
        <v>49.5</v>
      </c>
      <c r="E141" s="182" t="s">
        <v>282</v>
      </c>
      <c r="F141" s="74">
        <v>11.88</v>
      </c>
      <c r="G141" s="184" t="s">
        <v>212</v>
      </c>
      <c r="H141" s="74">
        <v>4</v>
      </c>
      <c r="I141" s="188" t="s">
        <v>206</v>
      </c>
      <c r="J141" s="185">
        <f t="shared" ref="J141:J145" si="14">H141*F141</f>
        <v>47.52</v>
      </c>
      <c r="K141" s="188" t="s">
        <v>57</v>
      </c>
      <c r="L141" s="185"/>
      <c r="M141" s="185"/>
    </row>
    <row r="142" spans="1:21" ht="13.8" thickBot="1" x14ac:dyDescent="0.3">
      <c r="B142" s="182"/>
      <c r="C142" s="182" t="s">
        <v>284</v>
      </c>
      <c r="D142" s="185"/>
      <c r="E142" s="188"/>
      <c r="F142" s="74">
        <v>200</v>
      </c>
      <c r="G142" s="184" t="s">
        <v>256</v>
      </c>
      <c r="H142" s="74">
        <v>1.53</v>
      </c>
      <c r="I142" s="188" t="s">
        <v>257</v>
      </c>
      <c r="J142" s="185">
        <f t="shared" si="14"/>
        <v>306</v>
      </c>
      <c r="K142" s="188" t="s">
        <v>57</v>
      </c>
      <c r="L142" s="185"/>
      <c r="M142" s="185"/>
    </row>
    <row r="143" spans="1:21" ht="13.8" thickBot="1" x14ac:dyDescent="0.3">
      <c r="B143" s="182"/>
      <c r="C143" s="182" t="s">
        <v>285</v>
      </c>
      <c r="D143" s="185"/>
      <c r="E143" s="188"/>
      <c r="F143" s="74"/>
      <c r="G143" s="184" t="s">
        <v>256</v>
      </c>
      <c r="H143" s="74"/>
      <c r="I143" s="188" t="s">
        <v>257</v>
      </c>
      <c r="J143" s="185">
        <f t="shared" si="14"/>
        <v>0</v>
      </c>
      <c r="K143" s="188" t="s">
        <v>57</v>
      </c>
      <c r="L143" s="185"/>
      <c r="M143" s="185"/>
    </row>
    <row r="144" spans="1:21" ht="13.8" thickBot="1" x14ac:dyDescent="0.3">
      <c r="B144" s="182"/>
      <c r="C144" s="182" t="s">
        <v>286</v>
      </c>
      <c r="D144" s="185"/>
      <c r="E144" s="188"/>
      <c r="F144" s="74"/>
      <c r="G144" s="184"/>
      <c r="H144" s="74"/>
      <c r="I144" s="188"/>
      <c r="J144" s="185">
        <f t="shared" si="14"/>
        <v>0</v>
      </c>
      <c r="K144" s="188" t="s">
        <v>57</v>
      </c>
      <c r="L144" s="185"/>
      <c r="M144" s="185"/>
    </row>
    <row r="145" spans="1:21" ht="13.8" thickBot="1" x14ac:dyDescent="0.3">
      <c r="B145" s="185"/>
      <c r="C145" s="182" t="s">
        <v>286</v>
      </c>
      <c r="D145" s="185"/>
      <c r="E145" s="185"/>
      <c r="F145" s="74"/>
      <c r="G145" s="185"/>
      <c r="H145" s="74"/>
      <c r="I145" s="185"/>
      <c r="J145" s="185">
        <f t="shared" si="14"/>
        <v>0</v>
      </c>
      <c r="K145" s="188" t="s">
        <v>57</v>
      </c>
      <c r="L145" s="185"/>
      <c r="M145" s="185"/>
      <c r="N145" s="5"/>
      <c r="O145" s="5"/>
      <c r="P145" s="5"/>
      <c r="Q145" s="5"/>
      <c r="R145" s="5"/>
      <c r="S145" s="5"/>
      <c r="T145" s="5"/>
      <c r="U145" s="5"/>
    </row>
    <row r="146" spans="1:21" s="5" customFormat="1" x14ac:dyDescent="0.25">
      <c r="A146" s="548"/>
      <c r="B146" s="207"/>
      <c r="C146" s="207" t="s">
        <v>54</v>
      </c>
      <c r="D146" s="207"/>
      <c r="E146" s="207"/>
      <c r="F146" s="207"/>
      <c r="G146" s="207"/>
      <c r="H146" s="207"/>
      <c r="I146" s="207"/>
      <c r="J146" s="207">
        <f>SUM(J139:J145)</f>
        <v>982.2</v>
      </c>
      <c r="K146" s="208" t="s">
        <v>57</v>
      </c>
      <c r="L146" s="207"/>
      <c r="M146" s="207"/>
      <c r="N146"/>
      <c r="O146"/>
      <c r="P146"/>
      <c r="Q146"/>
      <c r="R146"/>
      <c r="S146"/>
      <c r="T146"/>
      <c r="U146"/>
    </row>
    <row r="147" spans="1:21" x14ac:dyDescent="0.25">
      <c r="B147" s="185"/>
      <c r="C147" s="185"/>
      <c r="D147" s="185"/>
      <c r="E147" s="185"/>
      <c r="F147" s="185"/>
      <c r="G147" s="185"/>
      <c r="H147" s="185"/>
      <c r="I147" s="185"/>
      <c r="J147" s="185"/>
      <c r="K147" s="185"/>
      <c r="L147" s="185"/>
      <c r="M147" s="185"/>
    </row>
    <row r="149" spans="1:21" ht="15.6" x14ac:dyDescent="0.3">
      <c r="B149" s="88" t="s">
        <v>287</v>
      </c>
      <c r="C149" s="79"/>
      <c r="D149" s="79"/>
      <c r="E149" s="79"/>
      <c r="F149" s="79"/>
      <c r="G149" s="79"/>
      <c r="H149" s="79"/>
      <c r="I149" s="79"/>
      <c r="J149" s="79"/>
      <c r="K149" s="79"/>
      <c r="L149" s="79"/>
      <c r="M149" s="79"/>
    </row>
    <row r="150" spans="1:21" ht="15.6" x14ac:dyDescent="0.3">
      <c r="B150" s="88"/>
      <c r="C150" s="79"/>
      <c r="D150" s="79"/>
      <c r="E150" s="79"/>
      <c r="F150" s="79"/>
      <c r="G150" s="79"/>
      <c r="H150" s="79"/>
      <c r="I150" s="79"/>
      <c r="J150" s="79"/>
      <c r="K150" s="79"/>
      <c r="L150" s="79"/>
      <c r="M150" s="79"/>
    </row>
    <row r="151" spans="1:21" ht="15" customHeight="1" x14ac:dyDescent="0.25">
      <c r="B151" s="1068" t="s">
        <v>288</v>
      </c>
      <c r="C151" s="1068"/>
      <c r="D151" s="1068"/>
      <c r="E151" s="1068"/>
      <c r="F151" s="1068"/>
      <c r="G151" s="1068"/>
      <c r="H151" s="1068"/>
      <c r="I151" s="1068"/>
      <c r="J151" s="1068"/>
      <c r="K151" s="1068"/>
      <c r="L151" s="1068"/>
      <c r="M151" s="1068"/>
    </row>
    <row r="152" spans="1:21" s="5" customFormat="1" ht="15" x14ac:dyDescent="0.25">
      <c r="A152" s="548"/>
      <c r="B152" s="78" t="s">
        <v>289</v>
      </c>
      <c r="C152" s="79"/>
      <c r="D152" s="79"/>
      <c r="E152" s="83"/>
      <c r="F152" s="83"/>
      <c r="G152" s="83"/>
      <c r="H152" s="84"/>
      <c r="I152" s="84"/>
      <c r="J152" s="83"/>
      <c r="K152" s="83"/>
      <c r="L152" s="84"/>
      <c r="M152" s="84"/>
      <c r="N152"/>
      <c r="O152"/>
      <c r="P152"/>
      <c r="Q152"/>
      <c r="R152"/>
      <c r="S152"/>
      <c r="T152"/>
      <c r="U152"/>
    </row>
    <row r="153" spans="1:21" ht="15.6" x14ac:dyDescent="0.3">
      <c r="B153" s="88"/>
      <c r="C153" s="79"/>
      <c r="D153" s="79"/>
      <c r="E153" s="1069" t="s">
        <v>290</v>
      </c>
      <c r="F153" s="1069"/>
      <c r="G153" s="1069"/>
      <c r="H153" s="1070" t="s">
        <v>113</v>
      </c>
      <c r="I153" s="1070"/>
      <c r="J153" s="1069" t="s">
        <v>291</v>
      </c>
      <c r="K153" s="1069"/>
      <c r="L153" s="1070" t="s">
        <v>113</v>
      </c>
      <c r="M153" s="1070"/>
      <c r="N153" s="5"/>
      <c r="O153" s="5"/>
      <c r="P153" s="5"/>
      <c r="Q153" s="5"/>
      <c r="R153" s="5"/>
      <c r="S153" s="5"/>
      <c r="T153" s="5"/>
      <c r="U153" s="5"/>
    </row>
    <row r="154" spans="1:21" ht="33" customHeight="1" thickBot="1" x14ac:dyDescent="0.3">
      <c r="B154" s="78"/>
      <c r="C154" s="79"/>
      <c r="D154" s="79"/>
      <c r="E154" s="79"/>
      <c r="F154" s="79"/>
      <c r="G154" s="79"/>
      <c r="H154" s="79"/>
      <c r="I154" s="79"/>
      <c r="J154" s="79"/>
      <c r="K154" s="79"/>
      <c r="L154" s="79"/>
      <c r="M154" s="79"/>
    </row>
    <row r="155" spans="1:21" ht="13.8" thickBot="1" x14ac:dyDescent="0.3">
      <c r="B155" s="79"/>
      <c r="C155" s="80" t="s">
        <v>292</v>
      </c>
      <c r="D155" s="79"/>
      <c r="E155" s="79"/>
      <c r="F155" s="91">
        <v>2</v>
      </c>
      <c r="G155" s="82" t="s">
        <v>293</v>
      </c>
      <c r="H155" s="93">
        <v>14.5</v>
      </c>
      <c r="I155" s="82" t="s">
        <v>294</v>
      </c>
      <c r="J155" s="92"/>
      <c r="K155" s="82" t="s">
        <v>293</v>
      </c>
      <c r="L155" s="93">
        <v>14.5</v>
      </c>
      <c r="M155" s="82" t="s">
        <v>294</v>
      </c>
    </row>
    <row r="156" spans="1:21" ht="13.8" thickBot="1" x14ac:dyDescent="0.3">
      <c r="B156" s="79"/>
      <c r="C156" s="80" t="s">
        <v>295</v>
      </c>
      <c r="D156" s="79"/>
      <c r="E156" s="79"/>
      <c r="F156" s="91">
        <v>3.5</v>
      </c>
      <c r="G156" s="82" t="s">
        <v>293</v>
      </c>
      <c r="H156" s="90">
        <f>H155</f>
        <v>14.5</v>
      </c>
      <c r="I156" s="82" t="s">
        <v>294</v>
      </c>
      <c r="J156" s="92"/>
      <c r="K156" s="82" t="s">
        <v>293</v>
      </c>
      <c r="L156" s="90">
        <f>L155</f>
        <v>14.5</v>
      </c>
      <c r="M156" s="82" t="s">
        <v>294</v>
      </c>
    </row>
    <row r="157" spans="1:21" ht="13.8" thickBot="1" x14ac:dyDescent="0.3">
      <c r="B157" s="79"/>
      <c r="C157" s="80" t="s">
        <v>296</v>
      </c>
      <c r="D157" s="79"/>
      <c r="E157" s="79"/>
      <c r="F157" s="91">
        <v>1</v>
      </c>
      <c r="G157" s="82" t="s">
        <v>293</v>
      </c>
      <c r="H157" s="90">
        <f>H156</f>
        <v>14.5</v>
      </c>
      <c r="I157" s="82" t="s">
        <v>294</v>
      </c>
      <c r="J157" s="92"/>
      <c r="K157" s="82" t="s">
        <v>293</v>
      </c>
      <c r="L157" s="90">
        <f>L156</f>
        <v>14.5</v>
      </c>
      <c r="M157" s="82" t="s">
        <v>294</v>
      </c>
    </row>
    <row r="158" spans="1:21" ht="13.8" thickBot="1" x14ac:dyDescent="0.3">
      <c r="B158" s="79"/>
      <c r="C158" s="80" t="s">
        <v>297</v>
      </c>
      <c r="D158" s="79"/>
      <c r="E158" s="79"/>
      <c r="F158" s="91">
        <v>1</v>
      </c>
      <c r="G158" s="82" t="s">
        <v>293</v>
      </c>
      <c r="H158" s="90">
        <f>H156</f>
        <v>14.5</v>
      </c>
      <c r="I158" s="82" t="s">
        <v>294</v>
      </c>
      <c r="J158" s="92"/>
      <c r="K158" s="82" t="s">
        <v>293</v>
      </c>
      <c r="L158" s="90">
        <f>L156</f>
        <v>14.5</v>
      </c>
      <c r="M158" s="82" t="s">
        <v>294</v>
      </c>
    </row>
    <row r="159" spans="1:21" ht="13.8" thickBot="1" x14ac:dyDescent="0.3">
      <c r="B159" s="79"/>
      <c r="C159" s="80" t="s">
        <v>298</v>
      </c>
      <c r="D159" s="79"/>
      <c r="E159" s="79"/>
      <c r="F159" s="91">
        <v>2.5</v>
      </c>
      <c r="G159" s="82" t="s">
        <v>293</v>
      </c>
      <c r="H159" s="90">
        <f t="shared" ref="H159:H172" si="15">H158</f>
        <v>14.5</v>
      </c>
      <c r="I159" s="82" t="s">
        <v>294</v>
      </c>
      <c r="J159" s="92"/>
      <c r="K159" s="82" t="s">
        <v>293</v>
      </c>
      <c r="L159" s="90">
        <f t="shared" ref="L159:L172" si="16">L158</f>
        <v>14.5</v>
      </c>
      <c r="M159" s="82" t="s">
        <v>294</v>
      </c>
    </row>
    <row r="160" spans="1:21" ht="13.8" thickBot="1" x14ac:dyDescent="0.3">
      <c r="B160" s="79"/>
      <c r="C160" s="80" t="s">
        <v>299</v>
      </c>
      <c r="D160" s="79"/>
      <c r="E160" s="79"/>
      <c r="F160" s="91">
        <v>1</v>
      </c>
      <c r="G160" s="82" t="s">
        <v>293</v>
      </c>
      <c r="H160" s="90">
        <f t="shared" si="15"/>
        <v>14.5</v>
      </c>
      <c r="I160" s="82" t="s">
        <v>294</v>
      </c>
      <c r="J160" s="92"/>
      <c r="K160" s="82" t="s">
        <v>293</v>
      </c>
      <c r="L160" s="90">
        <f t="shared" si="16"/>
        <v>14.5</v>
      </c>
      <c r="M160" s="82" t="s">
        <v>294</v>
      </c>
    </row>
    <row r="161" spans="1:21" ht="13.8" thickBot="1" x14ac:dyDescent="0.3">
      <c r="B161" s="79"/>
      <c r="C161" s="80" t="s">
        <v>300</v>
      </c>
      <c r="D161" s="79"/>
      <c r="E161" s="79"/>
      <c r="F161" s="91">
        <v>8</v>
      </c>
      <c r="G161" s="82" t="s">
        <v>293</v>
      </c>
      <c r="H161" s="90">
        <f t="shared" si="15"/>
        <v>14.5</v>
      </c>
      <c r="I161" s="82" t="s">
        <v>294</v>
      </c>
      <c r="J161" s="92"/>
      <c r="K161" s="82" t="s">
        <v>293</v>
      </c>
      <c r="L161" s="90">
        <f t="shared" si="16"/>
        <v>14.5</v>
      </c>
      <c r="M161" s="82" t="s">
        <v>294</v>
      </c>
    </row>
    <row r="162" spans="1:21" ht="13.8" thickBot="1" x14ac:dyDescent="0.3">
      <c r="B162" s="79"/>
      <c r="C162" s="80" t="s">
        <v>301</v>
      </c>
      <c r="D162" s="79"/>
      <c r="E162" s="79"/>
      <c r="F162" s="91">
        <v>2</v>
      </c>
      <c r="G162" s="82" t="s">
        <v>293</v>
      </c>
      <c r="H162" s="90">
        <f t="shared" si="15"/>
        <v>14.5</v>
      </c>
      <c r="I162" s="82" t="s">
        <v>294</v>
      </c>
      <c r="J162" s="92"/>
      <c r="K162" s="82" t="s">
        <v>293</v>
      </c>
      <c r="L162" s="90">
        <f t="shared" si="16"/>
        <v>14.5</v>
      </c>
      <c r="M162" s="82" t="s">
        <v>294</v>
      </c>
    </row>
    <row r="163" spans="1:21" s="5" customFormat="1" ht="13.8" thickBot="1" x14ac:dyDescent="0.3">
      <c r="A163" s="548"/>
      <c r="B163" s="79"/>
      <c r="C163" s="80" t="s">
        <v>302</v>
      </c>
      <c r="D163" s="79"/>
      <c r="E163" s="79"/>
      <c r="F163" s="91">
        <v>4</v>
      </c>
      <c r="G163" s="82" t="s">
        <v>293</v>
      </c>
      <c r="H163" s="90">
        <f t="shared" si="15"/>
        <v>14.5</v>
      </c>
      <c r="I163" s="82" t="s">
        <v>294</v>
      </c>
      <c r="J163" s="92"/>
      <c r="K163" s="82" t="s">
        <v>293</v>
      </c>
      <c r="L163" s="90">
        <f t="shared" si="16"/>
        <v>14.5</v>
      </c>
      <c r="M163" s="82" t="s">
        <v>294</v>
      </c>
      <c r="N163"/>
      <c r="O163"/>
      <c r="P163"/>
      <c r="Q163"/>
      <c r="R163"/>
      <c r="S163"/>
      <c r="T163"/>
      <c r="U163"/>
    </row>
    <row r="164" spans="1:21" ht="13.8" thickBot="1" x14ac:dyDescent="0.3">
      <c r="B164" s="79"/>
      <c r="C164" s="80" t="s">
        <v>303</v>
      </c>
      <c r="D164" s="79"/>
      <c r="E164" s="79"/>
      <c r="F164" s="91">
        <v>4</v>
      </c>
      <c r="G164" s="82" t="s">
        <v>293</v>
      </c>
      <c r="H164" s="90">
        <f t="shared" si="15"/>
        <v>14.5</v>
      </c>
      <c r="I164" s="82" t="s">
        <v>294</v>
      </c>
      <c r="J164" s="92"/>
      <c r="K164" s="82" t="s">
        <v>293</v>
      </c>
      <c r="L164" s="90">
        <f t="shared" si="16"/>
        <v>14.5</v>
      </c>
      <c r="M164" s="82" t="s">
        <v>294</v>
      </c>
      <c r="N164" s="5"/>
      <c r="O164" s="5"/>
      <c r="P164" s="5"/>
      <c r="Q164" s="5"/>
      <c r="R164" s="5"/>
      <c r="S164" s="5"/>
      <c r="T164" s="5"/>
      <c r="U164" s="5"/>
    </row>
    <row r="165" spans="1:21" ht="13.8" thickBot="1" x14ac:dyDescent="0.3">
      <c r="B165" s="79"/>
      <c r="C165" s="80" t="s">
        <v>304</v>
      </c>
      <c r="D165" s="79"/>
      <c r="E165" s="79"/>
      <c r="F165" s="91">
        <v>1.5</v>
      </c>
      <c r="G165" s="82" t="s">
        <v>293</v>
      </c>
      <c r="H165" s="90">
        <f t="shared" si="15"/>
        <v>14.5</v>
      </c>
      <c r="I165" s="82" t="s">
        <v>294</v>
      </c>
      <c r="J165" s="92"/>
      <c r="K165" s="82" t="s">
        <v>293</v>
      </c>
      <c r="L165" s="90">
        <f t="shared" si="16"/>
        <v>14.5</v>
      </c>
      <c r="M165" s="82" t="s">
        <v>294</v>
      </c>
    </row>
    <row r="166" spans="1:21" ht="13.8" thickBot="1" x14ac:dyDescent="0.3">
      <c r="B166" s="79"/>
      <c r="C166" s="80" t="s">
        <v>38</v>
      </c>
      <c r="D166" s="79"/>
      <c r="E166" s="79"/>
      <c r="F166" s="91">
        <v>35</v>
      </c>
      <c r="G166" s="82" t="s">
        <v>293</v>
      </c>
      <c r="H166" s="90">
        <f t="shared" si="15"/>
        <v>14.5</v>
      </c>
      <c r="I166" s="82" t="s">
        <v>294</v>
      </c>
      <c r="J166" s="92"/>
      <c r="K166" s="82" t="s">
        <v>293</v>
      </c>
      <c r="L166" s="90">
        <f t="shared" si="16"/>
        <v>14.5</v>
      </c>
      <c r="M166" s="82" t="s">
        <v>294</v>
      </c>
    </row>
    <row r="167" spans="1:21" ht="13.8" thickBot="1" x14ac:dyDescent="0.3">
      <c r="B167" s="79"/>
      <c r="C167" s="80" t="s">
        <v>305</v>
      </c>
      <c r="D167" s="79"/>
      <c r="E167" s="79"/>
      <c r="F167" s="91">
        <v>25</v>
      </c>
      <c r="G167" s="82" t="s">
        <v>293</v>
      </c>
      <c r="H167" s="90">
        <f t="shared" si="15"/>
        <v>14.5</v>
      </c>
      <c r="I167" s="82" t="s">
        <v>294</v>
      </c>
      <c r="J167" s="92"/>
      <c r="K167" s="82" t="s">
        <v>293</v>
      </c>
      <c r="L167" s="90">
        <f t="shared" si="16"/>
        <v>14.5</v>
      </c>
      <c r="M167" s="82" t="s">
        <v>294</v>
      </c>
    </row>
    <row r="168" spans="1:21" ht="13.8" thickBot="1" x14ac:dyDescent="0.3">
      <c r="B168" s="79"/>
      <c r="C168" s="80" t="s">
        <v>306</v>
      </c>
      <c r="D168" s="79"/>
      <c r="E168" s="79"/>
      <c r="F168" s="92">
        <v>60</v>
      </c>
      <c r="G168" s="82" t="s">
        <v>293</v>
      </c>
      <c r="H168" s="90">
        <f t="shared" si="15"/>
        <v>14.5</v>
      </c>
      <c r="I168" s="82" t="s">
        <v>294</v>
      </c>
      <c r="J168" s="92"/>
      <c r="K168" s="82" t="s">
        <v>293</v>
      </c>
      <c r="L168" s="90">
        <f t="shared" si="16"/>
        <v>14.5</v>
      </c>
      <c r="M168" s="82" t="s">
        <v>294</v>
      </c>
    </row>
    <row r="169" spans="1:21" ht="13.8" thickBot="1" x14ac:dyDescent="0.3">
      <c r="B169" s="79"/>
      <c r="C169" s="80" t="s">
        <v>307</v>
      </c>
      <c r="D169" s="79"/>
      <c r="E169" s="79"/>
      <c r="F169" s="92">
        <v>10</v>
      </c>
      <c r="G169" s="82" t="s">
        <v>293</v>
      </c>
      <c r="H169" s="90">
        <f t="shared" si="15"/>
        <v>14.5</v>
      </c>
      <c r="I169" s="82" t="s">
        <v>294</v>
      </c>
      <c r="J169" s="92"/>
      <c r="K169" s="82" t="s">
        <v>293</v>
      </c>
      <c r="L169" s="90">
        <f t="shared" si="16"/>
        <v>14.5</v>
      </c>
      <c r="M169" s="82" t="s">
        <v>294</v>
      </c>
    </row>
    <row r="170" spans="1:21" ht="13.8" thickBot="1" x14ac:dyDescent="0.3">
      <c r="B170" s="79"/>
      <c r="C170" s="80" t="s">
        <v>308</v>
      </c>
      <c r="D170" s="79"/>
      <c r="E170" s="79"/>
      <c r="F170" s="92"/>
      <c r="G170" s="82" t="s">
        <v>293</v>
      </c>
      <c r="H170" s="90">
        <f t="shared" si="15"/>
        <v>14.5</v>
      </c>
      <c r="I170" s="82" t="s">
        <v>294</v>
      </c>
      <c r="J170" s="75"/>
      <c r="K170" s="82" t="s">
        <v>293</v>
      </c>
      <c r="L170" s="90">
        <f t="shared" si="16"/>
        <v>14.5</v>
      </c>
      <c r="M170" s="82" t="s">
        <v>294</v>
      </c>
    </row>
    <row r="171" spans="1:21" ht="13.8" thickBot="1" x14ac:dyDescent="0.3">
      <c r="B171" s="79"/>
      <c r="C171" s="80" t="s">
        <v>308</v>
      </c>
      <c r="D171" s="79"/>
      <c r="E171" s="79"/>
      <c r="F171" s="92"/>
      <c r="G171" s="82" t="s">
        <v>293</v>
      </c>
      <c r="H171" s="90">
        <f t="shared" si="15"/>
        <v>14.5</v>
      </c>
      <c r="I171" s="82" t="s">
        <v>294</v>
      </c>
      <c r="J171" s="75"/>
      <c r="K171" s="82" t="s">
        <v>293</v>
      </c>
      <c r="L171" s="90">
        <f t="shared" si="16"/>
        <v>14.5</v>
      </c>
      <c r="M171" s="82" t="s">
        <v>294</v>
      </c>
    </row>
    <row r="172" spans="1:21" ht="13.8" thickBot="1" x14ac:dyDescent="0.3">
      <c r="B172" s="79"/>
      <c r="C172" s="80" t="s">
        <v>308</v>
      </c>
      <c r="D172" s="81"/>
      <c r="E172" s="81"/>
      <c r="F172" s="75"/>
      <c r="G172" s="82" t="s">
        <v>293</v>
      </c>
      <c r="H172" s="90">
        <f t="shared" si="15"/>
        <v>14.5</v>
      </c>
      <c r="I172" s="82" t="s">
        <v>294</v>
      </c>
      <c r="J172" s="75"/>
      <c r="K172" s="82" t="s">
        <v>293</v>
      </c>
      <c r="L172" s="90">
        <f t="shared" si="16"/>
        <v>14.5</v>
      </c>
      <c r="M172" s="82" t="s">
        <v>294</v>
      </c>
    </row>
    <row r="173" spans="1:21" x14ac:dyDescent="0.25">
      <c r="B173" s="209"/>
      <c r="C173" s="210" t="s">
        <v>54</v>
      </c>
      <c r="D173" s="211"/>
      <c r="E173" s="211"/>
      <c r="F173" s="212">
        <f>SUM(F155:F172)</f>
        <v>160.5</v>
      </c>
      <c r="G173" s="209" t="s">
        <v>293</v>
      </c>
      <c r="H173" s="213">
        <f>F173*H155</f>
        <v>2327.25</v>
      </c>
      <c r="I173" s="209" t="s">
        <v>57</v>
      </c>
      <c r="J173" s="212">
        <f>SUM(J155:J172)</f>
        <v>0</v>
      </c>
      <c r="K173" s="209" t="s">
        <v>293</v>
      </c>
      <c r="L173" s="213">
        <f>J173*L155</f>
        <v>0</v>
      </c>
      <c r="M173" s="209" t="s">
        <v>57</v>
      </c>
    </row>
    <row r="174" spans="1:21" x14ac:dyDescent="0.25">
      <c r="N174" s="5"/>
      <c r="O174" s="5"/>
      <c r="P174" s="5"/>
      <c r="Q174" s="5"/>
      <c r="R174" s="5"/>
      <c r="S174" s="5"/>
      <c r="T174" s="5"/>
      <c r="U174" s="5"/>
    </row>
    <row r="175" spans="1:21" ht="40.200000000000003" customHeight="1" x14ac:dyDescent="0.25"/>
    <row r="178" spans="1:21" ht="37.950000000000003" customHeight="1" x14ac:dyDescent="0.25"/>
    <row r="190" spans="1:21" s="5" customFormat="1" x14ac:dyDescent="0.25">
      <c r="A190" s="548"/>
      <c r="B190"/>
      <c r="C190"/>
      <c r="D190"/>
      <c r="E190"/>
      <c r="F190"/>
      <c r="G190"/>
      <c r="H190"/>
      <c r="I190"/>
      <c r="J190"/>
      <c r="K190"/>
      <c r="L190"/>
      <c r="M190"/>
      <c r="N190"/>
      <c r="O190"/>
      <c r="P190"/>
      <c r="Q190"/>
      <c r="R190"/>
      <c r="S190"/>
      <c r="T190"/>
      <c r="U190"/>
    </row>
    <row r="191" spans="1:21" x14ac:dyDescent="0.25">
      <c r="N191" s="5"/>
      <c r="O191" s="5"/>
      <c r="P191" s="5"/>
      <c r="Q191" s="5"/>
      <c r="R191" s="5"/>
      <c r="S191" s="5"/>
      <c r="T191" s="5"/>
      <c r="U191" s="5"/>
    </row>
  </sheetData>
  <mergeCells count="43">
    <mergeCell ref="T9:U9"/>
    <mergeCell ref="B11:D11"/>
    <mergeCell ref="O17:Q17"/>
    <mergeCell ref="B26:E26"/>
    <mergeCell ref="B57:D57"/>
    <mergeCell ref="B27:E27"/>
    <mergeCell ref="B28:D28"/>
    <mergeCell ref="B31:C31"/>
    <mergeCell ref="C34:D34"/>
    <mergeCell ref="O9:Q9"/>
    <mergeCell ref="B64:D64"/>
    <mergeCell ref="B66:D66"/>
    <mergeCell ref="B69:E69"/>
    <mergeCell ref="B38:D38"/>
    <mergeCell ref="C41:D41"/>
    <mergeCell ref="B45:D45"/>
    <mergeCell ref="C48:D48"/>
    <mergeCell ref="B52:C52"/>
    <mergeCell ref="C55:D55"/>
    <mergeCell ref="L69:M69"/>
    <mergeCell ref="F76:G76"/>
    <mergeCell ref="H76:I76"/>
    <mergeCell ref="J76:K76"/>
    <mergeCell ref="F87:G87"/>
    <mergeCell ref="H87:I87"/>
    <mergeCell ref="J87:K87"/>
    <mergeCell ref="F71:G71"/>
    <mergeCell ref="H71:I71"/>
    <mergeCell ref="J71:K71"/>
    <mergeCell ref="F109:G109"/>
    <mergeCell ref="H109:I109"/>
    <mergeCell ref="J109:K109"/>
    <mergeCell ref="F121:G121"/>
    <mergeCell ref="H121:I121"/>
    <mergeCell ref="J121:K121"/>
    <mergeCell ref="F129:G129"/>
    <mergeCell ref="H129:I129"/>
    <mergeCell ref="J129:K129"/>
    <mergeCell ref="B151:M151"/>
    <mergeCell ref="E153:G153"/>
    <mergeCell ref="H153:I153"/>
    <mergeCell ref="J153:K153"/>
    <mergeCell ref="L153:M153"/>
  </mergeCells>
  <hyperlinks>
    <hyperlink ref="B2" location="'Gårdens info'!A1" display="TILL FRAMSIDAN" xr:uid="{2E3F0BD5-3054-4BBC-896F-57EE6EF34FE7}"/>
    <hyperlink ref="B2:C2" location="'Tilan tiedot'!A1" display="PALAA ETUSIVULLE" xr:uid="{73581955-FA57-45F7-B569-E218FEC93D41}"/>
    <hyperlink ref="B26:E26" location="'Gårdens info'!C97" display="ALMÄNNA KOSTNADER, potatisens andel" xr:uid="{14D2A39F-88D9-4648-9D67-D0D6D12EC13A}"/>
    <hyperlink ref="B31:C31" location="Omaisuus!B15" display="RAKENNUKSET" xr:uid="{8187050D-1BB4-4B06-B371-08394231938C}"/>
    <hyperlink ref="B38:D38" location="Omaisuus!B28" display="KONEET JA KALUSTO" xr:uid="{D07E879B-98CD-4923-A218-D63600CD59F7}"/>
    <hyperlink ref="B45:D45" location="Omaisuus!B51" display="PIDEMPIAIKAISET TUOTANTOVÄLINEET" xr:uid="{327EA2B2-8C1A-45D6-8843-6983E97654EF}"/>
    <hyperlink ref="B52:C52" location="Omaisuus!B70" display="SALAOJAT" xr:uid="{07F2BFCF-93B5-49B1-9AE2-9D697DBE5121}"/>
    <hyperlink ref="L69" location="'Avomaan mansikka'!B2" display="PALAA SIVUN YLÄLAITAAN" xr:uid="{D5E51584-9949-4B23-8438-4EE9CC429DD6}"/>
    <hyperlink ref="L69:M69" location="Matpotatis!A1" display="TILL SIDANS BÖRJAN" xr:uid="{6747E291-D763-47D5-B8CA-5090F9919ECE}"/>
  </hyperlink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C9D0-62A3-B244-93DD-F889D49F38D3}">
  <sheetPr>
    <tabColor rgb="FFF9C600"/>
  </sheetPr>
  <dimension ref="A1:BE192"/>
  <sheetViews>
    <sheetView topLeftCell="A5" zoomScale="64" zoomScaleNormal="79" workbookViewId="0">
      <selection activeCell="F10" sqref="F10"/>
    </sheetView>
  </sheetViews>
  <sheetFormatPr defaultColWidth="11.44140625" defaultRowHeight="13.2" x14ac:dyDescent="0.25"/>
  <cols>
    <col min="1" max="1" width="5.33203125" style="394" customWidth="1"/>
    <col min="3" max="3" width="16.6640625" customWidth="1"/>
    <col min="4" max="4" width="22.6640625" customWidth="1"/>
    <col min="5" max="5" width="12.109375" bestFit="1" customWidth="1"/>
    <col min="6" max="6" width="20.6640625" bestFit="1" customWidth="1"/>
    <col min="7" max="7" width="6.33203125" customWidth="1"/>
    <col min="8" max="8" width="15.441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8.6640625" customWidth="1"/>
    <col min="16" max="16" width="4.44140625" customWidth="1"/>
    <col min="17" max="17" width="15" customWidth="1"/>
    <col min="18" max="18" width="5.109375" customWidth="1"/>
    <col min="19" max="19" width="18.33203125" bestFit="1" customWidth="1"/>
    <col min="31" max="31" width="60.6640625" customWidth="1"/>
    <col min="57" max="57" width="15.5546875" customWidth="1"/>
  </cols>
  <sheetData>
    <row r="1" spans="1:57" s="394" customFormat="1" ht="22.8" x14ac:dyDescent="0.4">
      <c r="B1" s="459" t="s">
        <v>11</v>
      </c>
    </row>
    <row r="2" spans="1:57" ht="27" customHeight="1" x14ac:dyDescent="0.4">
      <c r="B2" s="1094" t="s">
        <v>309</v>
      </c>
      <c r="C2" s="1094"/>
      <c r="F2" s="69"/>
      <c r="G2" s="69"/>
      <c r="H2" s="69"/>
      <c r="AE2" s="804" t="s">
        <v>310</v>
      </c>
      <c r="AG2" s="804"/>
    </row>
    <row r="3" spans="1:57" ht="27" customHeight="1" x14ac:dyDescent="0.4">
      <c r="B3" s="189"/>
      <c r="C3" s="189"/>
      <c r="AE3" s="56" t="s">
        <v>311</v>
      </c>
      <c r="AF3" s="804"/>
      <c r="AG3" s="804"/>
    </row>
    <row r="4" spans="1:57" ht="18" customHeight="1" thickBot="1" x14ac:dyDescent="0.35">
      <c r="B4" s="924" t="s">
        <v>202</v>
      </c>
      <c r="C4" s="929"/>
      <c r="D4" s="929"/>
      <c r="E4" s="929"/>
      <c r="F4" s="929"/>
      <c r="G4" s="929"/>
      <c r="H4" s="929"/>
      <c r="I4" s="929"/>
      <c r="J4" s="929"/>
      <c r="K4" s="929"/>
      <c r="L4" s="929"/>
    </row>
    <row r="5" spans="1:57" ht="27" customHeight="1" thickBot="1" x14ac:dyDescent="0.35">
      <c r="B5" s="189"/>
      <c r="C5" s="189"/>
      <c r="AE5" s="832"/>
      <c r="AF5" s="1097" t="s">
        <v>312</v>
      </c>
      <c r="AG5" s="1097"/>
      <c r="AH5" s="1097" t="s">
        <v>313</v>
      </c>
      <c r="AI5" s="1097"/>
      <c r="AJ5" s="1097" t="s">
        <v>314</v>
      </c>
      <c r="AK5" s="1097"/>
      <c r="AL5" s="1097" t="s">
        <v>315</v>
      </c>
      <c r="AM5" s="1097"/>
      <c r="AN5" s="1097" t="s">
        <v>316</v>
      </c>
      <c r="AO5" s="1097"/>
      <c r="AP5" s="1097" t="s">
        <v>317</v>
      </c>
      <c r="AQ5" s="1097"/>
      <c r="AR5" s="1097" t="s">
        <v>318</v>
      </c>
      <c r="AS5" s="1097"/>
      <c r="AT5" s="1097" t="s">
        <v>319</v>
      </c>
      <c r="AU5" s="1097"/>
      <c r="AV5" s="1097" t="s">
        <v>320</v>
      </c>
      <c r="AW5" s="1097"/>
      <c r="AX5" s="1097" t="s">
        <v>321</v>
      </c>
      <c r="AY5" s="1097"/>
      <c r="AZ5" s="1097" t="s">
        <v>322</v>
      </c>
      <c r="BA5" s="1097"/>
      <c r="BB5" s="1097" t="s">
        <v>323</v>
      </c>
      <c r="BC5" s="1097"/>
      <c r="BD5" s="932" t="s">
        <v>324</v>
      </c>
      <c r="BE5" s="833"/>
    </row>
    <row r="6" spans="1:57" ht="27" customHeight="1" x14ac:dyDescent="0.4">
      <c r="B6" s="256" t="s">
        <v>325</v>
      </c>
      <c r="C6" s="221"/>
      <c r="D6" s="222"/>
      <c r="E6" s="222"/>
      <c r="F6" s="222"/>
      <c r="G6" s="222"/>
      <c r="H6" s="222"/>
      <c r="I6" s="222"/>
      <c r="J6" s="222"/>
      <c r="K6" s="222"/>
      <c r="L6" s="222"/>
      <c r="M6" s="223"/>
      <c r="N6" s="368"/>
      <c r="O6" s="222"/>
      <c r="P6" s="222"/>
      <c r="Q6" s="222"/>
      <c r="R6" s="222"/>
      <c r="S6" s="222"/>
      <c r="T6" s="222"/>
      <c r="U6" s="223"/>
      <c r="AE6" s="291" t="s">
        <v>326</v>
      </c>
      <c r="AF6" s="826"/>
      <c r="AG6" s="826"/>
      <c r="AH6" s="827">
        <v>1</v>
      </c>
      <c r="AI6" s="827"/>
      <c r="AJ6" s="827">
        <v>1</v>
      </c>
      <c r="AK6" s="827"/>
      <c r="AL6" s="826">
        <v>1</v>
      </c>
      <c r="AM6" s="826"/>
      <c r="AN6" s="826">
        <v>1</v>
      </c>
      <c r="AO6" s="826"/>
      <c r="AP6" s="826">
        <v>1</v>
      </c>
      <c r="AQ6" s="826"/>
      <c r="AR6" s="826">
        <v>1</v>
      </c>
      <c r="AS6" s="826"/>
      <c r="AT6" s="826">
        <v>1</v>
      </c>
      <c r="AU6" s="826"/>
      <c r="AV6" s="826">
        <v>1</v>
      </c>
      <c r="AW6" s="826"/>
      <c r="AX6" s="826">
        <v>1</v>
      </c>
      <c r="AY6" s="826"/>
      <c r="AZ6" s="826">
        <v>1</v>
      </c>
      <c r="BA6" s="826"/>
      <c r="BB6" s="826">
        <v>1</v>
      </c>
      <c r="BC6" s="826"/>
      <c r="BD6" s="829">
        <f>SUM(AF6:BB6)</f>
        <v>11</v>
      </c>
      <c r="BE6" s="830" t="s">
        <v>327</v>
      </c>
    </row>
    <row r="7" spans="1:57" ht="27" customHeight="1" x14ac:dyDescent="0.4">
      <c r="B7" s="224"/>
      <c r="C7" s="225"/>
      <c r="D7" s="116"/>
      <c r="E7" s="116"/>
      <c r="F7" s="116"/>
      <c r="G7" s="116"/>
      <c r="H7" s="116"/>
      <c r="I7" s="116"/>
      <c r="J7" s="116"/>
      <c r="K7" s="116"/>
      <c r="L7" s="116"/>
      <c r="M7" s="226"/>
      <c r="N7" s="369"/>
      <c r="O7" s="116"/>
      <c r="P7" s="116"/>
      <c r="Q7" s="116"/>
      <c r="R7" s="116"/>
      <c r="S7" s="116"/>
      <c r="T7" s="116"/>
      <c r="U7" s="226"/>
      <c r="AE7" s="291" t="s">
        <v>328</v>
      </c>
      <c r="AF7" s="56"/>
      <c r="AG7" s="56"/>
      <c r="AH7" s="56"/>
      <c r="AI7" s="56"/>
      <c r="AJ7" s="56"/>
      <c r="AK7" s="56"/>
      <c r="AL7" s="56"/>
      <c r="AM7" s="56"/>
      <c r="AN7" s="56"/>
      <c r="AO7" s="56"/>
      <c r="AP7" s="56"/>
      <c r="AQ7" s="56"/>
      <c r="AR7" s="56"/>
      <c r="AS7" s="56"/>
      <c r="AT7" s="56"/>
      <c r="AU7" s="56"/>
      <c r="AV7" s="56"/>
      <c r="AW7" s="56"/>
      <c r="AX7" s="56"/>
      <c r="AY7" s="56"/>
      <c r="AZ7" s="826">
        <v>1</v>
      </c>
      <c r="BA7" s="826"/>
      <c r="BB7" s="826">
        <v>1</v>
      </c>
      <c r="BC7" s="826"/>
      <c r="BD7" s="829">
        <f t="shared" ref="BD7:BD26" si="0">SUM(AF7:BB7)</f>
        <v>2</v>
      </c>
      <c r="BE7" s="830"/>
    </row>
    <row r="8" spans="1:57" ht="21" x14ac:dyDescent="0.4">
      <c r="B8" s="257" t="s">
        <v>204</v>
      </c>
      <c r="C8" s="225"/>
      <c r="D8" s="116"/>
      <c r="E8" s="119"/>
      <c r="F8" s="119"/>
      <c r="G8" s="119"/>
      <c r="H8" s="119"/>
      <c r="I8" s="116"/>
      <c r="J8" s="116"/>
      <c r="K8" s="116"/>
      <c r="L8" s="116"/>
      <c r="M8" s="226"/>
      <c r="N8" s="257" t="s">
        <v>205</v>
      </c>
      <c r="O8" s="116"/>
      <c r="P8" s="116"/>
      <c r="Q8" s="116"/>
      <c r="R8" s="116"/>
      <c r="S8" s="116"/>
      <c r="T8" s="116"/>
      <c r="U8" s="239"/>
      <c r="AE8" s="291" t="s">
        <v>329</v>
      </c>
      <c r="AF8" s="56"/>
      <c r="AG8" s="56"/>
      <c r="AH8" s="56"/>
      <c r="AI8" s="56"/>
      <c r="AJ8" s="56"/>
      <c r="AK8" s="56"/>
      <c r="AL8" s="826">
        <v>2</v>
      </c>
      <c r="AM8" s="826">
        <v>1</v>
      </c>
      <c r="AN8" s="826">
        <v>1</v>
      </c>
      <c r="AO8" s="56"/>
      <c r="AP8" s="56"/>
      <c r="AQ8" s="56"/>
      <c r="AR8" s="56"/>
      <c r="AS8" s="56"/>
      <c r="AT8" s="56"/>
      <c r="AU8" s="56"/>
      <c r="AV8" s="56"/>
      <c r="AW8" s="56"/>
      <c r="AX8" s="56"/>
      <c r="AY8" s="56"/>
      <c r="AZ8" s="56"/>
      <c r="BA8" s="56"/>
      <c r="BB8" s="56"/>
      <c r="BC8" s="56"/>
      <c r="BD8" s="829">
        <f t="shared" si="0"/>
        <v>4</v>
      </c>
      <c r="BE8" s="830"/>
    </row>
    <row r="9" spans="1:57" ht="21" customHeight="1" thickBot="1" x14ac:dyDescent="0.35">
      <c r="B9" s="227"/>
      <c r="C9" s="228" t="s">
        <v>205</v>
      </c>
      <c r="D9" s="119"/>
      <c r="E9" s="119"/>
      <c r="F9" s="229">
        <f>IF('Gårdens info'!D12&gt;0,H9*'Gårdens info'!G12,0)</f>
        <v>42000</v>
      </c>
      <c r="G9" s="119" t="s">
        <v>57</v>
      </c>
      <c r="H9" s="508">
        <f>IF('Gårdens info'!G12&gt;0,(('Gårdens info'!D12*'Gårdens info'!G12*S10*T10)+('Gårdens info'!D12*'Gårdens info'!G12*S11*T11)+('Gårdens info'!D12*'Gårdens info'!G12*S12*T12)+('Gårdens info'!D12*'Gårdens info'!G12*S13*T13)+('Gårdens info'!D12*'Gårdens info'!G12*S14*T14)+('Gårdens info'!D12*'Gårdens info'!G12*S15*T15)+('Gårdens info'!D12*'Gårdens info'!G12*S16*T16)+('Gårdens info'!D12*'Gårdens info'!G12*S17*T17))/(('Gårdens info'!D12*'Gårdens info'!G12)),0)</f>
        <v>0.7</v>
      </c>
      <c r="I9" s="119" t="s">
        <v>206</v>
      </c>
      <c r="J9" s="229">
        <f>F9*'Gårdens info'!D12</f>
        <v>420000</v>
      </c>
      <c r="K9" s="119" t="s">
        <v>330</v>
      </c>
      <c r="L9" s="119"/>
      <c r="M9" s="226"/>
      <c r="N9" s="369"/>
      <c r="O9" s="1095" t="s">
        <v>208</v>
      </c>
      <c r="P9" s="1095"/>
      <c r="Q9" s="1095"/>
      <c r="R9" s="930"/>
      <c r="S9" s="926" t="s">
        <v>209</v>
      </c>
      <c r="T9" s="1086" t="s">
        <v>210</v>
      </c>
      <c r="U9" s="1087"/>
      <c r="AE9" s="291" t="s">
        <v>331</v>
      </c>
      <c r="AF9" s="56"/>
      <c r="AG9" s="56"/>
      <c r="AH9" s="56"/>
      <c r="AI9" s="56"/>
      <c r="AJ9" s="56"/>
      <c r="AK9" s="56"/>
      <c r="AL9" s="826">
        <v>3</v>
      </c>
      <c r="AM9" s="826">
        <v>3</v>
      </c>
      <c r="AN9" s="826">
        <v>3</v>
      </c>
      <c r="AO9" s="834"/>
      <c r="AP9" s="835"/>
      <c r="AQ9" s="56"/>
      <c r="AR9" s="56"/>
      <c r="AS9" s="56"/>
      <c r="AT9" s="56"/>
      <c r="AU9" s="56"/>
      <c r="AV9" s="56"/>
      <c r="AW9" s="56"/>
      <c r="AX9" s="56"/>
      <c r="AY9" s="56"/>
      <c r="AZ9" s="56"/>
      <c r="BA9" s="56"/>
      <c r="BB9" s="56"/>
      <c r="BC9" s="56"/>
      <c r="BD9" s="829">
        <f t="shared" si="0"/>
        <v>9</v>
      </c>
      <c r="BE9" s="830"/>
    </row>
    <row r="10" spans="1:57" ht="18" thickBot="1" x14ac:dyDescent="0.35">
      <c r="B10" s="227"/>
      <c r="C10" s="119" t="s">
        <v>211</v>
      </c>
      <c r="D10" s="119"/>
      <c r="E10" s="119"/>
      <c r="F10" s="229">
        <f>IF('Gårdens info'!D12&gt;0,Stöd!L15,0)</f>
        <v>1027.0999999999999</v>
      </c>
      <c r="G10" s="119" t="s">
        <v>57</v>
      </c>
      <c r="H10" s="508">
        <f>IF('Gårdens info'!G12&gt;0,F10/'Gårdens info'!G12,0)</f>
        <v>1.7118333333333333E-2</v>
      </c>
      <c r="I10" s="119" t="s">
        <v>206</v>
      </c>
      <c r="J10" s="229">
        <f>F10*'Gårdens info'!D12</f>
        <v>10271</v>
      </c>
      <c r="K10" s="119" t="s">
        <v>330</v>
      </c>
      <c r="L10" s="119"/>
      <c r="M10" s="226"/>
      <c r="N10" s="369"/>
      <c r="O10" s="119">
        <v>1</v>
      </c>
      <c r="P10" s="119" t="s">
        <v>212</v>
      </c>
      <c r="Q10" s="119" t="s">
        <v>213</v>
      </c>
      <c r="R10" s="119"/>
      <c r="S10" s="377">
        <v>0.4</v>
      </c>
      <c r="T10" s="255">
        <v>0.7</v>
      </c>
      <c r="U10" s="239" t="s">
        <v>206</v>
      </c>
      <c r="AE10" s="291" t="s">
        <v>332</v>
      </c>
      <c r="AF10" s="56"/>
      <c r="AG10" s="56"/>
      <c r="AH10" s="56"/>
      <c r="AI10" s="56"/>
      <c r="AJ10" s="56"/>
      <c r="AK10" s="56"/>
      <c r="AL10" s="826">
        <v>1</v>
      </c>
      <c r="AM10" s="826">
        <v>1</v>
      </c>
      <c r="AN10" s="826">
        <v>1</v>
      </c>
      <c r="AO10" s="56"/>
      <c r="AP10" s="56"/>
      <c r="AQ10" s="56"/>
      <c r="AR10" s="826">
        <v>1</v>
      </c>
      <c r="AS10" s="826">
        <v>1</v>
      </c>
      <c r="AT10" s="826">
        <v>1</v>
      </c>
      <c r="AU10" s="56"/>
      <c r="AV10" s="56"/>
      <c r="AW10" s="56"/>
      <c r="AX10" s="56"/>
      <c r="AY10" s="56"/>
      <c r="AZ10" s="56"/>
      <c r="BA10" s="56"/>
      <c r="BB10" s="56"/>
      <c r="BC10" s="56"/>
      <c r="BD10" s="829">
        <f t="shared" si="0"/>
        <v>6</v>
      </c>
      <c r="BE10" s="830"/>
    </row>
    <row r="11" spans="1:57" s="5" customFormat="1" ht="21.6" thickBot="1" x14ac:dyDescent="0.45">
      <c r="A11" s="452"/>
      <c r="B11" s="1061" t="s">
        <v>214</v>
      </c>
      <c r="C11" s="1043"/>
      <c r="D11" s="1043"/>
      <c r="E11" s="262"/>
      <c r="F11" s="266">
        <f>F9+F10</f>
        <v>43027.1</v>
      </c>
      <c r="G11" s="267" t="s">
        <v>57</v>
      </c>
      <c r="H11" s="507">
        <f>H9+H10</f>
        <v>0.7171183333333333</v>
      </c>
      <c r="I11" s="267" t="s">
        <v>206</v>
      </c>
      <c r="J11" s="269">
        <f>J9+J10</f>
        <v>430271</v>
      </c>
      <c r="K11" s="267" t="s">
        <v>330</v>
      </c>
      <c r="L11" s="267"/>
      <c r="M11" s="259"/>
      <c r="N11" s="370"/>
      <c r="O11" s="119">
        <v>0.25</v>
      </c>
      <c r="P11" s="119" t="s">
        <v>212</v>
      </c>
      <c r="Q11" s="119" t="s">
        <v>333</v>
      </c>
      <c r="R11" s="119"/>
      <c r="S11" s="379">
        <v>0</v>
      </c>
      <c r="T11" s="255"/>
      <c r="U11" s="239" t="s">
        <v>206</v>
      </c>
      <c r="AE11" s="291" t="s">
        <v>334</v>
      </c>
      <c r="AF11" s="56"/>
      <c r="AG11" s="56"/>
      <c r="AH11" s="56"/>
      <c r="AI11" s="56"/>
      <c r="AJ11" s="56"/>
      <c r="AK11" s="56"/>
      <c r="AL11" s="56"/>
      <c r="AM11" s="56"/>
      <c r="AN11" s="826">
        <v>4</v>
      </c>
      <c r="AO11" s="56"/>
      <c r="AP11" s="56"/>
      <c r="AQ11" s="56"/>
      <c r="AR11" s="56"/>
      <c r="AS11" s="56"/>
      <c r="AT11" s="56"/>
      <c r="AU11" s="56"/>
      <c r="AV11" s="56"/>
      <c r="AW11" s="56"/>
      <c r="AX11" s="56"/>
      <c r="AY11" s="56"/>
      <c r="AZ11" s="56"/>
      <c r="BA11" s="56"/>
      <c r="BB11" s="56"/>
      <c r="BC11" s="56"/>
      <c r="BD11" s="829">
        <f t="shared" si="0"/>
        <v>4</v>
      </c>
      <c r="BE11" s="830"/>
    </row>
    <row r="12" spans="1:57" s="5" customFormat="1" ht="21.6" thickBot="1" x14ac:dyDescent="0.45">
      <c r="A12" s="452"/>
      <c r="B12" s="288"/>
      <c r="C12" s="270"/>
      <c r="D12" s="270"/>
      <c r="E12" s="262"/>
      <c r="F12" s="266"/>
      <c r="G12" s="267"/>
      <c r="H12" s="268"/>
      <c r="I12" s="267"/>
      <c r="J12" s="269"/>
      <c r="K12" s="267"/>
      <c r="L12" s="267"/>
      <c r="M12" s="259"/>
      <c r="N12" s="370"/>
      <c r="O12" s="119">
        <v>0.5</v>
      </c>
      <c r="P12" s="119" t="s">
        <v>212</v>
      </c>
      <c r="Q12" s="119" t="s">
        <v>213</v>
      </c>
      <c r="R12" s="119"/>
      <c r="S12" s="379">
        <v>0.4</v>
      </c>
      <c r="T12" s="255">
        <v>0.72</v>
      </c>
      <c r="U12" s="239" t="s">
        <v>206</v>
      </c>
      <c r="AE12" s="291" t="s">
        <v>335</v>
      </c>
      <c r="AF12" s="818"/>
      <c r="AG12" s="818"/>
      <c r="AH12" s="818"/>
      <c r="AI12" s="818"/>
      <c r="AJ12" s="818"/>
      <c r="AK12" s="818"/>
      <c r="AL12" s="818"/>
      <c r="AM12" s="818"/>
      <c r="AN12" s="826">
        <v>3</v>
      </c>
      <c r="AO12" s="826">
        <v>3</v>
      </c>
      <c r="AP12" s="826">
        <v>3</v>
      </c>
      <c r="AQ12" s="826">
        <v>3</v>
      </c>
      <c r="AR12" s="826">
        <v>3</v>
      </c>
      <c r="AS12" s="826">
        <v>3</v>
      </c>
      <c r="AT12" s="818"/>
      <c r="AU12" s="818"/>
      <c r="AV12" s="818"/>
      <c r="AW12" s="818"/>
      <c r="AX12" s="818"/>
      <c r="AY12" s="818"/>
      <c r="AZ12" s="818"/>
      <c r="BA12" s="818"/>
      <c r="BB12" s="818"/>
      <c r="BC12" s="818"/>
      <c r="BD12" s="829">
        <f t="shared" si="0"/>
        <v>18</v>
      </c>
      <c r="BE12" s="831"/>
    </row>
    <row r="13" spans="1:57" ht="22.2" customHeight="1" thickBot="1" x14ac:dyDescent="0.4">
      <c r="B13" s="231"/>
      <c r="C13" s="225"/>
      <c r="D13" s="116"/>
      <c r="E13" s="116"/>
      <c r="F13" s="116"/>
      <c r="G13" s="116"/>
      <c r="H13" s="116"/>
      <c r="I13" s="116"/>
      <c r="J13" s="232"/>
      <c r="K13" s="116"/>
      <c r="L13" s="116"/>
      <c r="M13" s="226"/>
      <c r="N13" s="369"/>
      <c r="O13" s="119">
        <v>10</v>
      </c>
      <c r="P13" s="119" t="s">
        <v>212</v>
      </c>
      <c r="Q13" s="119" t="s">
        <v>215</v>
      </c>
      <c r="R13" s="119"/>
      <c r="S13" s="379">
        <v>0.2</v>
      </c>
      <c r="T13" s="255">
        <v>0.66</v>
      </c>
      <c r="U13" s="239" t="s">
        <v>206</v>
      </c>
      <c r="AE13" s="931" t="s">
        <v>336</v>
      </c>
      <c r="AF13" s="818"/>
      <c r="AG13" s="818"/>
      <c r="AH13" s="818"/>
      <c r="AI13" s="818"/>
      <c r="AJ13" s="818"/>
      <c r="AK13" s="818"/>
      <c r="AL13" s="818"/>
      <c r="AM13" s="818"/>
      <c r="AN13" s="818"/>
      <c r="AO13" s="818"/>
      <c r="AP13" s="818"/>
      <c r="AQ13" s="818"/>
      <c r="AR13" s="818"/>
      <c r="AS13" s="818"/>
      <c r="AT13" s="826">
        <v>4</v>
      </c>
      <c r="AU13" s="818"/>
      <c r="AV13" s="818"/>
      <c r="AW13" s="818"/>
      <c r="AX13" s="818"/>
      <c r="AY13" s="818"/>
      <c r="AZ13" s="818"/>
      <c r="BA13" s="818"/>
      <c r="BB13" s="818"/>
      <c r="BC13" s="818"/>
      <c r="BD13" s="829">
        <f t="shared" si="0"/>
        <v>4</v>
      </c>
      <c r="BE13" s="831"/>
    </row>
    <row r="14" spans="1:57" ht="21.6" thickBot="1" x14ac:dyDescent="0.45">
      <c r="B14" s="257" t="s">
        <v>186</v>
      </c>
      <c r="C14" s="225"/>
      <c r="D14" s="116"/>
      <c r="E14" s="116"/>
      <c r="F14" s="116"/>
      <c r="G14" s="116"/>
      <c r="H14" s="116"/>
      <c r="I14" s="116"/>
      <c r="J14" s="232"/>
      <c r="K14" s="116"/>
      <c r="L14" s="116"/>
      <c r="M14" s="226"/>
      <c r="N14" s="369"/>
      <c r="O14" s="651">
        <f>D114</f>
        <v>0</v>
      </c>
      <c r="P14" s="119" t="s">
        <v>212</v>
      </c>
      <c r="Q14" s="652" t="str">
        <f>C114</f>
        <v>förpackning X</v>
      </c>
      <c r="R14" s="119"/>
      <c r="S14" s="379">
        <v>0</v>
      </c>
      <c r="T14" s="255"/>
      <c r="U14" s="239" t="s">
        <v>206</v>
      </c>
      <c r="AE14" s="291" t="s">
        <v>337</v>
      </c>
      <c r="AF14" s="56"/>
      <c r="AG14" s="56"/>
      <c r="AH14" s="56"/>
      <c r="AI14" s="56"/>
      <c r="AJ14" s="56"/>
      <c r="AK14" s="56"/>
      <c r="AL14" s="56"/>
      <c r="AM14" s="56"/>
      <c r="AN14" s="56"/>
      <c r="AO14" s="826">
        <v>2</v>
      </c>
      <c r="AP14" s="826">
        <v>2</v>
      </c>
      <c r="AQ14" s="56"/>
      <c r="AR14" s="56"/>
      <c r="AS14" s="56"/>
      <c r="AT14" s="56"/>
      <c r="AU14" s="56"/>
      <c r="AV14" s="56"/>
      <c r="AW14" s="826">
        <v>2</v>
      </c>
      <c r="AX14" s="826"/>
      <c r="AY14" s="56"/>
      <c r="AZ14" s="56"/>
      <c r="BA14" s="56"/>
      <c r="BB14" s="56"/>
      <c r="BC14" s="56"/>
      <c r="BD14" s="829">
        <f t="shared" si="0"/>
        <v>6</v>
      </c>
      <c r="BE14" s="830"/>
    </row>
    <row r="15" spans="1:57" s="56" customFormat="1" ht="16.95" customHeight="1" thickBot="1" x14ac:dyDescent="0.35">
      <c r="A15" s="454"/>
      <c r="B15" s="493"/>
      <c r="C15" s="245"/>
      <c r="D15" s="249"/>
      <c r="E15" s="249"/>
      <c r="F15" s="250"/>
      <c r="G15" s="120"/>
      <c r="H15" s="249"/>
      <c r="I15" s="249"/>
      <c r="J15" s="249"/>
      <c r="K15" s="249"/>
      <c r="L15" s="249"/>
      <c r="M15" s="234"/>
      <c r="N15" s="369"/>
      <c r="O15" s="651">
        <f>D115</f>
        <v>0</v>
      </c>
      <c r="P15" s="119" t="s">
        <v>212</v>
      </c>
      <c r="Q15" s="652" t="str">
        <f t="shared" ref="Q15:Q17" si="1">C115</f>
        <v>förpackning X</v>
      </c>
      <c r="R15" s="119"/>
      <c r="S15" s="379">
        <v>0</v>
      </c>
      <c r="T15" s="255"/>
      <c r="U15" s="239" t="s">
        <v>206</v>
      </c>
      <c r="AE15" s="291" t="s">
        <v>338</v>
      </c>
      <c r="AR15" s="826">
        <v>1</v>
      </c>
      <c r="AS15" s="826">
        <v>1</v>
      </c>
      <c r="BD15" s="829">
        <f t="shared" si="0"/>
        <v>2</v>
      </c>
      <c r="BE15" s="830"/>
    </row>
    <row r="16" spans="1:57" s="69" customFormat="1" ht="16.95" customHeight="1" thickBot="1" x14ac:dyDescent="0.35">
      <c r="A16" s="454"/>
      <c r="B16" s="493"/>
      <c r="C16" s="228" t="s">
        <v>218</v>
      </c>
      <c r="D16" s="236"/>
      <c r="E16" s="236"/>
      <c r="F16" s="247">
        <f>IF('Gårdens info'!D12&gt;0,J73,0)</f>
        <v>700</v>
      </c>
      <c r="G16" s="119" t="s">
        <v>57</v>
      </c>
      <c r="H16" s="503">
        <f>IF('Gårdens info'!$G$12&gt;0,F16/'Gårdens info'!$G$12,0)</f>
        <v>1.1666666666666667E-2</v>
      </c>
      <c r="I16" s="119" t="s">
        <v>206</v>
      </c>
      <c r="J16" s="237">
        <f>F16*'Gårdens info'!$D$12</f>
        <v>7000</v>
      </c>
      <c r="K16" s="119" t="s">
        <v>330</v>
      </c>
      <c r="L16" s="236"/>
      <c r="M16" s="239"/>
      <c r="N16" s="227"/>
      <c r="O16" s="651">
        <f t="shared" ref="O16:O17" si="2">D116</f>
        <v>0</v>
      </c>
      <c r="P16" s="119" t="s">
        <v>212</v>
      </c>
      <c r="Q16" s="652" t="str">
        <f t="shared" si="1"/>
        <v>förpackning X</v>
      </c>
      <c r="R16" s="119"/>
      <c r="S16" s="379">
        <v>0</v>
      </c>
      <c r="T16" s="255"/>
      <c r="U16" s="239" t="s">
        <v>206</v>
      </c>
      <c r="AE16" s="291" t="s">
        <v>339</v>
      </c>
      <c r="AF16" s="56"/>
      <c r="AG16" s="56"/>
      <c r="AH16" s="56"/>
      <c r="AI16" s="56"/>
      <c r="AJ16" s="56"/>
      <c r="AK16" s="56"/>
      <c r="AL16" s="56"/>
      <c r="AM16" s="56"/>
      <c r="AN16" s="56"/>
      <c r="AO16" s="56"/>
      <c r="AP16" s="826">
        <v>1</v>
      </c>
      <c r="AQ16" s="826">
        <v>1</v>
      </c>
      <c r="AT16" s="56"/>
      <c r="AU16" s="56"/>
      <c r="AV16" s="56"/>
      <c r="AW16" s="56"/>
      <c r="AX16" s="56"/>
      <c r="AY16" s="56"/>
      <c r="AZ16" s="56"/>
      <c r="BA16" s="56"/>
      <c r="BB16" s="56"/>
      <c r="BC16" s="56"/>
      <c r="BD16" s="829">
        <f t="shared" si="0"/>
        <v>2</v>
      </c>
      <c r="BE16" s="830"/>
    </row>
    <row r="17" spans="1:57" s="69" customFormat="1" ht="18" thickBot="1" x14ac:dyDescent="0.35">
      <c r="A17" s="454"/>
      <c r="B17" s="235"/>
      <c r="C17" s="228" t="s">
        <v>219</v>
      </c>
      <c r="D17" s="236"/>
      <c r="E17" s="236"/>
      <c r="F17" s="237">
        <f>IF('Gårdens info'!D12&gt;0,J84,0)</f>
        <v>1292</v>
      </c>
      <c r="G17" s="119" t="s">
        <v>57</v>
      </c>
      <c r="H17" s="503">
        <f>IF('Gårdens info'!$G$12&gt;0,F17/'Gårdens info'!$G$12,0)</f>
        <v>2.1533333333333335E-2</v>
      </c>
      <c r="I17" s="119" t="s">
        <v>206</v>
      </c>
      <c r="J17" s="237">
        <f>F17*'Gårdens info'!$D$12</f>
        <v>12920</v>
      </c>
      <c r="K17" s="119" t="s">
        <v>330</v>
      </c>
      <c r="L17" s="236"/>
      <c r="M17" s="239"/>
      <c r="N17" s="369"/>
      <c r="O17" s="651">
        <f t="shared" si="2"/>
        <v>0</v>
      </c>
      <c r="P17" s="119" t="s">
        <v>212</v>
      </c>
      <c r="Q17" s="652" t="str">
        <f t="shared" si="1"/>
        <v>förpackning X</v>
      </c>
      <c r="R17" s="119"/>
      <c r="S17" s="379">
        <v>0</v>
      </c>
      <c r="T17" s="255"/>
      <c r="U17" s="239" t="s">
        <v>206</v>
      </c>
      <c r="AE17" s="291" t="s">
        <v>340</v>
      </c>
      <c r="AF17" s="56"/>
      <c r="AG17" s="56"/>
      <c r="AH17" s="56"/>
      <c r="AI17" s="56"/>
      <c r="AJ17" s="56"/>
      <c r="AK17" s="56"/>
      <c r="AL17" s="56"/>
      <c r="AM17" s="56"/>
      <c r="AN17" s="56"/>
      <c r="AO17" s="56"/>
      <c r="AP17" s="836">
        <v>2</v>
      </c>
      <c r="AQ17" s="826">
        <v>2</v>
      </c>
      <c r="AR17" s="56"/>
      <c r="AS17" s="56"/>
      <c r="AT17" s="56"/>
      <c r="AU17" s="56"/>
      <c r="AV17" s="56"/>
      <c r="AW17" s="56"/>
      <c r="AX17" s="56"/>
      <c r="AY17" s="56"/>
      <c r="AZ17" s="56"/>
      <c r="BA17" s="56"/>
      <c r="BB17" s="56"/>
      <c r="BC17" s="56"/>
      <c r="BD17" s="829">
        <f t="shared" si="0"/>
        <v>4</v>
      </c>
      <c r="BE17" s="830"/>
    </row>
    <row r="18" spans="1:57" s="69" customFormat="1" ht="17.399999999999999" x14ac:dyDescent="0.3">
      <c r="A18" s="454"/>
      <c r="B18" s="235"/>
      <c r="C18" s="228" t="s">
        <v>220</v>
      </c>
      <c r="D18" s="236"/>
      <c r="E18" s="236"/>
      <c r="F18" s="237">
        <f>IF('Gårdens info'!D12&gt;0,J105,0)</f>
        <v>481</v>
      </c>
      <c r="G18" s="119" t="s">
        <v>57</v>
      </c>
      <c r="H18" s="503">
        <f>IF('Gårdens info'!$G$12&gt;0,F18/'Gårdens info'!$G$12,0)</f>
        <v>8.0166666666666667E-3</v>
      </c>
      <c r="I18" s="119" t="s">
        <v>206</v>
      </c>
      <c r="J18" s="237">
        <f>F18*'Gårdens info'!$D$12</f>
        <v>4810</v>
      </c>
      <c r="K18" s="119" t="s">
        <v>330</v>
      </c>
      <c r="L18" s="236"/>
      <c r="M18" s="239"/>
      <c r="N18" s="371"/>
      <c r="O18" s="1088" t="s">
        <v>54</v>
      </c>
      <c r="P18" s="1088"/>
      <c r="Q18" s="1088"/>
      <c r="R18" s="120"/>
      <c r="S18" s="375">
        <f>SUM(S10:S17)</f>
        <v>1</v>
      </c>
      <c r="T18" s="120"/>
      <c r="U18" s="234"/>
      <c r="AE18" s="291" t="s">
        <v>341</v>
      </c>
      <c r="AF18" s="826"/>
      <c r="AG18" s="826">
        <v>3</v>
      </c>
      <c r="AH18" s="826"/>
      <c r="AI18" s="826">
        <v>3</v>
      </c>
      <c r="AJ18" s="826"/>
      <c r="AK18" s="826">
        <v>3</v>
      </c>
      <c r="AL18" s="826"/>
      <c r="AM18" s="56"/>
      <c r="AN18" s="56"/>
      <c r="AO18" s="56"/>
      <c r="AP18" s="56"/>
      <c r="AQ18" s="56"/>
      <c r="AR18" s="56"/>
      <c r="AS18" s="56"/>
      <c r="AT18" s="56"/>
      <c r="AU18" s="56"/>
      <c r="AV18" s="56"/>
      <c r="AW18" s="56"/>
      <c r="AX18" s="56"/>
      <c r="AY18" s="56"/>
      <c r="AZ18" s="56"/>
      <c r="BA18" s="56"/>
      <c r="BB18" s="56"/>
      <c r="BC18" s="56"/>
      <c r="BD18" s="829">
        <f t="shared" si="0"/>
        <v>9</v>
      </c>
      <c r="BE18" s="830"/>
    </row>
    <row r="19" spans="1:57" s="69" customFormat="1" ht="17.399999999999999" x14ac:dyDescent="0.3">
      <c r="A19" s="454"/>
      <c r="B19" s="235"/>
      <c r="C19" s="228" t="s">
        <v>221</v>
      </c>
      <c r="D19" s="236"/>
      <c r="E19" s="236"/>
      <c r="F19" s="237">
        <f>IF('Gårdens info'!D12&gt;0,J118,0)</f>
        <v>780</v>
      </c>
      <c r="G19" s="119" t="s">
        <v>57</v>
      </c>
      <c r="H19" s="503">
        <f>IF('Gårdens info'!$G$12&gt;0,F19/'Gårdens info'!$G$12,0)</f>
        <v>1.2999999999999999E-2</v>
      </c>
      <c r="I19" s="119" t="s">
        <v>206</v>
      </c>
      <c r="J19" s="237">
        <f>F19*'Gårdens info'!$D$12</f>
        <v>7800</v>
      </c>
      <c r="K19" s="119" t="s">
        <v>330</v>
      </c>
      <c r="L19" s="236"/>
      <c r="M19" s="239"/>
      <c r="N19" s="227"/>
      <c r="O19" s="376" t="str">
        <f>IF(S18=100%," ","HUOM! Osuus myyynneistä pitää summautua 100 prosenttiin")</f>
        <v xml:space="preserve"> </v>
      </c>
      <c r="P19" s="119"/>
      <c r="R19" s="119"/>
      <c r="S19" s="119"/>
      <c r="T19" s="119"/>
      <c r="U19" s="239"/>
      <c r="AE19" s="291" t="s">
        <v>38</v>
      </c>
      <c r="AF19" s="56"/>
      <c r="AG19" s="56"/>
      <c r="AH19" s="56"/>
      <c r="AI19" s="56"/>
      <c r="AJ19" s="56"/>
      <c r="AK19" s="56"/>
      <c r="AL19" s="56"/>
      <c r="AM19" s="56"/>
      <c r="AN19" s="56"/>
      <c r="AO19" s="56"/>
      <c r="AP19" s="56"/>
      <c r="AQ19" s="56"/>
      <c r="AR19" s="56"/>
      <c r="AS19" s="826">
        <v>5</v>
      </c>
      <c r="AT19" s="826">
        <v>5</v>
      </c>
      <c r="AU19" s="826">
        <v>5</v>
      </c>
      <c r="AV19" s="826">
        <v>5</v>
      </c>
      <c r="AW19" s="826">
        <v>5</v>
      </c>
      <c r="AX19" s="826">
        <v>5</v>
      </c>
      <c r="AY19" s="826">
        <v>5</v>
      </c>
      <c r="AZ19" s="56"/>
      <c r="BA19" s="56"/>
      <c r="BB19" s="56"/>
      <c r="BC19" s="56"/>
      <c r="BD19" s="829">
        <f t="shared" si="0"/>
        <v>35</v>
      </c>
      <c r="BE19" s="830"/>
    </row>
    <row r="20" spans="1:57" s="69" customFormat="1" ht="18" thickBot="1" x14ac:dyDescent="0.35">
      <c r="A20" s="454"/>
      <c r="B20" s="235"/>
      <c r="C20" s="228" t="s">
        <v>222</v>
      </c>
      <c r="D20" s="236"/>
      <c r="E20" s="236"/>
      <c r="F20" s="237">
        <f>IF('Gårdens info'!D12&gt;0,122,0)</f>
        <v>122</v>
      </c>
      <c r="G20" s="119" t="s">
        <v>57</v>
      </c>
      <c r="H20" s="503">
        <f>IF('Gårdens info'!$G$12&gt;0,F20/'Gårdens info'!$G$12,0)</f>
        <v>2.0333333333333332E-3</v>
      </c>
      <c r="I20" s="119" t="s">
        <v>206</v>
      </c>
      <c r="J20" s="237">
        <f>F20*'Gårdens info'!$D$12</f>
        <v>1220</v>
      </c>
      <c r="K20" s="119" t="s">
        <v>330</v>
      </c>
      <c r="L20" s="236"/>
      <c r="M20" s="239"/>
      <c r="N20" s="372"/>
      <c r="O20" s="373"/>
      <c r="P20" s="373"/>
      <c r="Q20" s="373"/>
      <c r="R20" s="373"/>
      <c r="S20" s="373"/>
      <c r="T20" s="373"/>
      <c r="U20" s="374"/>
      <c r="AE20" s="291" t="s">
        <v>342</v>
      </c>
      <c r="AF20" s="56"/>
      <c r="AG20" s="56"/>
      <c r="AH20" s="56"/>
      <c r="AI20" s="56"/>
      <c r="AJ20" s="56"/>
      <c r="AK20" s="56"/>
      <c r="AL20" s="56"/>
      <c r="AM20" s="56"/>
      <c r="AN20" s="56"/>
      <c r="AO20" s="56"/>
      <c r="AP20" s="56"/>
      <c r="AQ20" s="56"/>
      <c r="AR20" s="56"/>
      <c r="AS20" s="826">
        <v>2</v>
      </c>
      <c r="AT20" s="826">
        <v>2</v>
      </c>
      <c r="AU20" s="826">
        <v>2</v>
      </c>
      <c r="AV20" s="826">
        <v>2</v>
      </c>
      <c r="AW20" s="826">
        <v>2</v>
      </c>
      <c r="AX20" s="826">
        <v>2</v>
      </c>
      <c r="AY20" s="826">
        <v>2</v>
      </c>
      <c r="AZ20" s="56"/>
      <c r="BA20" s="56"/>
      <c r="BB20" s="56"/>
      <c r="BC20" s="56"/>
      <c r="BD20" s="829">
        <f t="shared" si="0"/>
        <v>14</v>
      </c>
      <c r="BE20" s="830"/>
    </row>
    <row r="21" spans="1:57" s="69" customFormat="1" ht="17.399999999999999" x14ac:dyDescent="0.3">
      <c r="A21" s="454"/>
      <c r="B21" s="235"/>
      <c r="C21" s="228" t="s">
        <v>223</v>
      </c>
      <c r="D21" s="236"/>
      <c r="E21" s="236"/>
      <c r="F21" s="237">
        <f>IF('Gårdens info'!D12&gt;0,J134,0)</f>
        <v>0</v>
      </c>
      <c r="G21" s="119" t="s">
        <v>57</v>
      </c>
      <c r="H21" s="503">
        <f>IF('Gårdens info'!$G$12&gt;0,F21/'Gårdens info'!$G$12,0)</f>
        <v>0</v>
      </c>
      <c r="I21" s="119" t="s">
        <v>206</v>
      </c>
      <c r="J21" s="237">
        <f>F21*'Gårdens info'!$D$12</f>
        <v>0</v>
      </c>
      <c r="K21" s="119" t="s">
        <v>330</v>
      </c>
      <c r="L21" s="236"/>
      <c r="M21" s="239"/>
      <c r="AE21" s="291" t="s">
        <v>306</v>
      </c>
      <c r="AF21" s="56"/>
      <c r="AG21" s="56"/>
      <c r="AH21" s="56"/>
      <c r="AI21" s="56"/>
      <c r="AJ21" s="56"/>
      <c r="AK21" s="56"/>
      <c r="AL21" s="56"/>
      <c r="AM21" s="56"/>
      <c r="AN21" s="56"/>
      <c r="AO21" s="56"/>
      <c r="AP21" s="56"/>
      <c r="AQ21" s="56"/>
      <c r="AR21" s="56"/>
      <c r="AS21" s="826">
        <v>6</v>
      </c>
      <c r="AT21" s="826">
        <v>6</v>
      </c>
      <c r="AU21" s="826">
        <v>6</v>
      </c>
      <c r="AV21" s="826">
        <v>6</v>
      </c>
      <c r="AW21" s="826">
        <v>6</v>
      </c>
      <c r="AX21" s="826">
        <v>6</v>
      </c>
      <c r="AY21" s="826">
        <v>6</v>
      </c>
      <c r="AZ21" s="826">
        <v>6</v>
      </c>
      <c r="BA21" s="826">
        <v>6</v>
      </c>
      <c r="BB21" s="826">
        <v>6</v>
      </c>
      <c r="BC21" s="826">
        <v>6</v>
      </c>
      <c r="BD21" s="829">
        <f>SUM(AF21:BC21)</f>
        <v>66</v>
      </c>
      <c r="BE21" s="830"/>
    </row>
    <row r="22" spans="1:57" s="69" customFormat="1" ht="17.399999999999999" x14ac:dyDescent="0.3">
      <c r="A22" s="454"/>
      <c r="B22" s="235"/>
      <c r="C22" s="228" t="s">
        <v>224</v>
      </c>
      <c r="D22" s="236"/>
      <c r="E22" s="236"/>
      <c r="F22" s="237">
        <f>IF('Gårdens info'!D12&gt;0,J146,0)</f>
        <v>673.44</v>
      </c>
      <c r="G22" s="119" t="s">
        <v>57</v>
      </c>
      <c r="H22" s="503">
        <f>IF('Gårdens info'!$G$12&gt;0,F22/'Gårdens info'!$G$12,0)</f>
        <v>1.1224000000000001E-2</v>
      </c>
      <c r="I22" s="119" t="s">
        <v>206</v>
      </c>
      <c r="J22" s="237">
        <f>F22*'Gårdens info'!$D$12</f>
        <v>6734.4000000000005</v>
      </c>
      <c r="K22" s="119" t="s">
        <v>330</v>
      </c>
      <c r="L22" s="236"/>
      <c r="M22" s="239"/>
      <c r="AE22" s="291" t="s">
        <v>343</v>
      </c>
      <c r="AF22" s="826">
        <v>6</v>
      </c>
      <c r="AG22" s="826">
        <v>6</v>
      </c>
      <c r="AH22" s="56"/>
      <c r="AI22" s="56"/>
      <c r="AJ22" s="56"/>
      <c r="AK22" s="56"/>
      <c r="AL22" s="56"/>
      <c r="AM22" s="56"/>
      <c r="AN22" s="56"/>
      <c r="AO22" s="56"/>
      <c r="AP22" s="56"/>
      <c r="AQ22" s="56"/>
      <c r="AR22" s="56"/>
      <c r="AS22" s="56"/>
      <c r="AT22" s="56"/>
      <c r="AU22" s="56"/>
      <c r="AV22" s="56"/>
      <c r="AW22" s="56"/>
      <c r="AX22" s="56"/>
      <c r="AY22" s="56"/>
      <c r="AZ22" s="56"/>
      <c r="BA22" s="56"/>
      <c r="BB22" s="56"/>
      <c r="BC22" s="56"/>
      <c r="BD22" s="829">
        <f t="shared" si="0"/>
        <v>12</v>
      </c>
      <c r="BE22" s="830"/>
    </row>
    <row r="23" spans="1:57" s="69" customFormat="1" ht="17.399999999999999" x14ac:dyDescent="0.3">
      <c r="A23" s="454"/>
      <c r="B23" s="235"/>
      <c r="C23" s="228" t="s">
        <v>225</v>
      </c>
      <c r="D23" s="236"/>
      <c r="E23" s="236"/>
      <c r="F23" s="237">
        <f>IF('Gårdens info'!D12&gt;0,L179,0)</f>
        <v>833.75</v>
      </c>
      <c r="G23" s="119" t="s">
        <v>57</v>
      </c>
      <c r="H23" s="503">
        <f>IF('Gårdens info'!$G$12&gt;0,F23/'Gårdens info'!$G$12,0)</f>
        <v>1.3895833333333333E-2</v>
      </c>
      <c r="I23" s="119" t="s">
        <v>206</v>
      </c>
      <c r="J23" s="237">
        <f>F23*'Gårdens info'!$D$12</f>
        <v>8337.5</v>
      </c>
      <c r="K23" s="119" t="s">
        <v>330</v>
      </c>
      <c r="L23" s="236"/>
      <c r="M23" s="239"/>
      <c r="AE23" s="291" t="s">
        <v>344</v>
      </c>
      <c r="AF23" s="56"/>
      <c r="AG23" s="56"/>
      <c r="AH23" s="826">
        <v>6</v>
      </c>
      <c r="AI23" s="826"/>
      <c r="AJ23" s="56"/>
      <c r="AK23" s="56"/>
      <c r="AL23" s="56"/>
      <c r="AM23" s="56"/>
      <c r="AN23" s="56"/>
      <c r="AO23" s="56"/>
      <c r="AP23" s="56"/>
      <c r="AQ23" s="56"/>
      <c r="AR23" s="56"/>
      <c r="AS23" s="56"/>
      <c r="AT23" s="56"/>
      <c r="AU23" s="56"/>
      <c r="AV23" s="56"/>
      <c r="AW23" s="56"/>
      <c r="AX23" s="56"/>
      <c r="AY23" s="56"/>
      <c r="AZ23" s="56"/>
      <c r="BA23" s="56"/>
      <c r="BB23" s="56"/>
      <c r="BC23" s="56"/>
      <c r="BD23" s="829">
        <f t="shared" si="0"/>
        <v>6</v>
      </c>
      <c r="BE23" s="830"/>
    </row>
    <row r="24" spans="1:57" ht="17.399999999999999" x14ac:dyDescent="0.3">
      <c r="B24" s="251"/>
      <c r="C24" s="240" t="s">
        <v>54</v>
      </c>
      <c r="D24" s="241"/>
      <c r="E24" s="241"/>
      <c r="F24" s="242">
        <f>SUM(F16:F23)</f>
        <v>4882.1900000000005</v>
      </c>
      <c r="G24" s="243" t="s">
        <v>57</v>
      </c>
      <c r="H24" s="504">
        <f>SUM(H16:H23)</f>
        <v>8.1369833333333322E-2</v>
      </c>
      <c r="I24" s="243" t="s">
        <v>206</v>
      </c>
      <c r="J24" s="242">
        <f>SUM(J16:J23)</f>
        <v>48821.9</v>
      </c>
      <c r="K24" s="230" t="s">
        <v>330</v>
      </c>
      <c r="L24" s="241"/>
      <c r="M24" s="252"/>
      <c r="N24" s="69"/>
      <c r="O24" s="69"/>
      <c r="P24" s="69"/>
      <c r="Q24" s="69"/>
      <c r="R24" s="69"/>
      <c r="S24" s="69"/>
      <c r="T24" s="69"/>
      <c r="U24" s="69"/>
      <c r="AE24" s="291" t="s">
        <v>345</v>
      </c>
      <c r="AF24" s="826">
        <v>2</v>
      </c>
      <c r="AG24" s="826"/>
      <c r="AH24" s="56"/>
      <c r="AI24" s="56"/>
      <c r="AJ24" s="56"/>
      <c r="AK24" s="56"/>
      <c r="AL24" s="56"/>
      <c r="AM24" s="56"/>
      <c r="AN24" s="56"/>
      <c r="AO24" s="56"/>
      <c r="AP24" s="56"/>
      <c r="AQ24" s="56"/>
      <c r="AR24" s="56"/>
      <c r="AS24" s="56"/>
      <c r="AT24" s="56"/>
      <c r="AU24" s="56"/>
      <c r="AV24" s="56"/>
      <c r="AW24" s="56"/>
      <c r="AX24" s="56"/>
      <c r="AY24" s="56"/>
      <c r="AZ24" s="56"/>
      <c r="BA24" s="56"/>
      <c r="BB24" s="56"/>
      <c r="BC24" s="56"/>
      <c r="BD24" s="829">
        <f t="shared" si="0"/>
        <v>2</v>
      </c>
      <c r="BE24" s="830"/>
    </row>
    <row r="25" spans="1:57" s="56" customFormat="1" ht="17.399999999999999" x14ac:dyDescent="0.3">
      <c r="A25" s="453"/>
      <c r="B25" s="231"/>
      <c r="C25" s="245"/>
      <c r="D25" s="246"/>
      <c r="E25" s="246"/>
      <c r="F25" s="247"/>
      <c r="G25" s="119"/>
      <c r="H25" s="505"/>
      <c r="I25" s="246"/>
      <c r="J25" s="246"/>
      <c r="K25" s="246"/>
      <c r="L25" s="246"/>
      <c r="M25" s="226"/>
      <c r="N25" s="69"/>
      <c r="O25" s="69"/>
      <c r="P25" s="69"/>
      <c r="R25" s="69"/>
      <c r="S25" s="69"/>
      <c r="T25" s="69"/>
      <c r="U25" s="69"/>
      <c r="AB25" s="449" t="str">
        <f>C16</f>
        <v>Frö</v>
      </c>
      <c r="AC25" s="561">
        <f>F16</f>
        <v>700</v>
      </c>
      <c r="AE25" s="291" t="s">
        <v>346</v>
      </c>
      <c r="AF25" s="826">
        <v>4</v>
      </c>
      <c r="AG25" s="826"/>
      <c r="BD25" s="829">
        <f t="shared" si="0"/>
        <v>4</v>
      </c>
      <c r="BE25" s="830"/>
    </row>
    <row r="26" spans="1:57" s="69" customFormat="1" ht="17.399999999999999" x14ac:dyDescent="0.3">
      <c r="A26" s="454"/>
      <c r="B26" s="1089" t="s">
        <v>347</v>
      </c>
      <c r="C26" s="1090"/>
      <c r="D26" s="1090"/>
      <c r="E26" s="1090"/>
      <c r="F26" s="263">
        <f>IF('Gårdens info'!D12&gt;0,J26/'Gårdens info'!D12,0)</f>
        <v>238.2978723404255</v>
      </c>
      <c r="G26" s="243" t="s">
        <v>57</v>
      </c>
      <c r="H26" s="506">
        <f>IF('Gårdens info'!G12&gt;0,F26/'Gårdens info'!G12,0)</f>
        <v>3.9716312056737582E-3</v>
      </c>
      <c r="I26" s="243" t="s">
        <v>206</v>
      </c>
      <c r="J26" s="258">
        <f>'Gårdens info'!G163/'Gårdens info'!D43*'Gårdens info'!D12</f>
        <v>2382.9787234042551</v>
      </c>
      <c r="K26" s="243" t="s">
        <v>330</v>
      </c>
      <c r="L26" s="265"/>
      <c r="M26" s="259"/>
      <c r="N26"/>
      <c r="O26"/>
      <c r="P26"/>
      <c r="S26"/>
      <c r="T26"/>
      <c r="U26"/>
      <c r="AB26" s="382" t="str">
        <f t="shared" ref="AB26:AB32" si="3">C17</f>
        <v>Gödsel och kalk</v>
      </c>
      <c r="AC26" s="561">
        <f t="shared" ref="AC26:AC32" si="4">F17</f>
        <v>1292</v>
      </c>
      <c r="AE26" s="291" t="s">
        <v>348</v>
      </c>
      <c r="AF26" s="826">
        <v>1</v>
      </c>
      <c r="AG26" s="826"/>
      <c r="AH26" s="826">
        <v>1</v>
      </c>
      <c r="AI26" s="826"/>
      <c r="AJ26" s="826">
        <v>1</v>
      </c>
      <c r="AK26" s="826"/>
      <c r="AL26" s="826">
        <v>1</v>
      </c>
      <c r="AM26" s="826"/>
      <c r="AN26" s="826">
        <v>1</v>
      </c>
      <c r="AO26" s="826"/>
      <c r="AP26" s="826">
        <v>1</v>
      </c>
      <c r="AQ26" s="826"/>
      <c r="AR26" s="826">
        <v>1</v>
      </c>
      <c r="AS26" s="826"/>
      <c r="AT26" s="826">
        <v>1</v>
      </c>
      <c r="AU26" s="826"/>
      <c r="AV26" s="826">
        <v>1</v>
      </c>
      <c r="AW26" s="826"/>
      <c r="AX26" s="826">
        <v>1</v>
      </c>
      <c r="AY26" s="826"/>
      <c r="AZ26" s="826">
        <v>1</v>
      </c>
      <c r="BA26" s="826"/>
      <c r="BB26" s="826">
        <v>1</v>
      </c>
      <c r="BC26" s="826"/>
      <c r="BD26" s="829">
        <f t="shared" si="0"/>
        <v>12</v>
      </c>
      <c r="BE26" s="830"/>
    </row>
    <row r="27" spans="1:57" s="69" customFormat="1" ht="17.399999999999999" x14ac:dyDescent="0.3">
      <c r="A27" s="454"/>
      <c r="B27" s="1091" t="s">
        <v>349</v>
      </c>
      <c r="C27" s="1092"/>
      <c r="D27" s="1092"/>
      <c r="E27" s="1092"/>
      <c r="F27" s="263">
        <f>IF('Gårdens info'!D12&gt;0,J27/'Gårdens info'!D12,0)</f>
        <v>187.2340425531915</v>
      </c>
      <c r="G27" s="243" t="s">
        <v>57</v>
      </c>
      <c r="H27" s="506">
        <f>IF('Gårdens info'!G12&gt;0,F27/'Gårdens info'!G12,0)</f>
        <v>3.1205673758865249E-3</v>
      </c>
      <c r="I27" s="243" t="s">
        <v>206</v>
      </c>
      <c r="J27" s="258">
        <f>'Gårdens info'!$D$48/'Gårdens info'!$D$49*'Gårdens info'!$G$48*'Gårdens info'!D12</f>
        <v>1872.3404255319151</v>
      </c>
      <c r="K27" s="243" t="s">
        <v>330</v>
      </c>
      <c r="L27" s="265"/>
      <c r="M27" s="259"/>
      <c r="N27" s="56"/>
      <c r="O27" s="56"/>
      <c r="P27" s="56"/>
      <c r="S27" s="56"/>
      <c r="T27" s="56"/>
      <c r="U27" s="56"/>
      <c r="AB27" s="382" t="str">
        <f t="shared" si="3"/>
        <v>IPM Växtskydd</v>
      </c>
      <c r="AC27" s="561">
        <f t="shared" si="4"/>
        <v>481</v>
      </c>
      <c r="AE27" s="291" t="s">
        <v>350</v>
      </c>
      <c r="AF27" s="56"/>
      <c r="AG27" s="826"/>
      <c r="AH27" s="826">
        <v>2</v>
      </c>
      <c r="AI27" s="826"/>
      <c r="AJ27" s="826">
        <v>2</v>
      </c>
      <c r="AK27" s="826"/>
      <c r="AL27" s="826">
        <v>2</v>
      </c>
      <c r="AM27" s="826"/>
      <c r="AN27" s="826">
        <v>4</v>
      </c>
      <c r="AO27" s="826"/>
      <c r="AP27" s="826">
        <v>4</v>
      </c>
      <c r="AQ27" s="826"/>
      <c r="AR27" s="826">
        <v>4</v>
      </c>
      <c r="AS27" s="826"/>
      <c r="AT27" s="826">
        <v>4</v>
      </c>
      <c r="AU27" s="826"/>
      <c r="AV27" s="826">
        <v>4</v>
      </c>
      <c r="AW27" s="826"/>
      <c r="AX27" s="826">
        <v>2</v>
      </c>
      <c r="AY27" s="826"/>
      <c r="AZ27" s="826">
        <v>2</v>
      </c>
      <c r="BA27" s="826"/>
      <c r="BB27" s="56"/>
      <c r="BC27" s="56"/>
      <c r="BD27" s="829">
        <f>SUM(AF27:BB27)</f>
        <v>30</v>
      </c>
      <c r="BE27" s="830"/>
    </row>
    <row r="28" spans="1:57" s="69" customFormat="1" ht="21" x14ac:dyDescent="0.4">
      <c r="A28" s="454"/>
      <c r="B28" s="1061" t="s">
        <v>189</v>
      </c>
      <c r="C28" s="1043"/>
      <c r="D28" s="1043"/>
      <c r="E28" s="262"/>
      <c r="F28" s="266">
        <f>F24+F26+F27</f>
        <v>5307.7219148936174</v>
      </c>
      <c r="G28" s="267" t="s">
        <v>57</v>
      </c>
      <c r="H28" s="507">
        <f>H24+H26+H27</f>
        <v>8.8462031914893602E-2</v>
      </c>
      <c r="I28" s="267" t="s">
        <v>206</v>
      </c>
      <c r="J28" s="269">
        <f>J24+J26+J27</f>
        <v>53077.219148936172</v>
      </c>
      <c r="K28" s="267" t="s">
        <v>330</v>
      </c>
      <c r="L28" s="267"/>
      <c r="M28" s="259"/>
      <c r="AB28" s="382" t="str">
        <f t="shared" si="3"/>
        <v>Packningsmaterial</v>
      </c>
      <c r="AC28" s="561">
        <f t="shared" si="4"/>
        <v>780</v>
      </c>
      <c r="AE28" s="291" t="s">
        <v>351</v>
      </c>
      <c r="AF28" s="56"/>
      <c r="AG28" s="826"/>
      <c r="AH28" s="826">
        <v>1</v>
      </c>
      <c r="AI28" s="826"/>
      <c r="AJ28" s="826">
        <v>1</v>
      </c>
      <c r="AK28" s="826"/>
      <c r="AL28" s="826">
        <v>1</v>
      </c>
      <c r="AM28" s="826"/>
      <c r="AN28" s="826">
        <v>1</v>
      </c>
      <c r="AO28" s="826"/>
      <c r="AP28" s="826">
        <v>1</v>
      </c>
      <c r="AQ28" s="826"/>
      <c r="AR28" s="826">
        <v>1</v>
      </c>
      <c r="AS28" s="826"/>
      <c r="AT28" s="826">
        <v>1</v>
      </c>
      <c r="AU28" s="826"/>
      <c r="AV28" s="826">
        <v>1</v>
      </c>
      <c r="AW28" s="826"/>
      <c r="AX28" s="826">
        <v>1</v>
      </c>
      <c r="AY28" s="826"/>
      <c r="AZ28" s="826">
        <v>1</v>
      </c>
      <c r="BA28" s="826"/>
      <c r="BB28" s="56"/>
      <c r="BC28" s="56"/>
      <c r="BD28" s="829">
        <f>SUM(AF28:BB28)</f>
        <v>10</v>
      </c>
      <c r="BE28" s="830"/>
    </row>
    <row r="29" spans="1:57" s="69" customFormat="1" ht="21" x14ac:dyDescent="0.4">
      <c r="A29" s="454"/>
      <c r="B29" s="288"/>
      <c r="C29" s="270"/>
      <c r="D29" s="270"/>
      <c r="E29" s="262"/>
      <c r="F29" s="266"/>
      <c r="G29" s="267"/>
      <c r="H29" s="268"/>
      <c r="I29" s="267"/>
      <c r="J29" s="269"/>
      <c r="K29" s="267"/>
      <c r="L29" s="267"/>
      <c r="M29" s="259"/>
      <c r="AB29" s="382" t="str">
        <f t="shared" si="3"/>
        <v>Fraktkostnader</v>
      </c>
      <c r="AC29" s="561">
        <f t="shared" si="4"/>
        <v>122</v>
      </c>
      <c r="AE29" s="291" t="s">
        <v>352</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829">
        <f t="shared" ref="BD29:BD31" si="5">SUM(AF29:BB29)</f>
        <v>0</v>
      </c>
      <c r="BE29" s="830"/>
    </row>
    <row r="30" spans="1:57" s="69" customFormat="1" ht="21" x14ac:dyDescent="0.4">
      <c r="A30" s="454"/>
      <c r="B30" s="257" t="s">
        <v>353</v>
      </c>
      <c r="C30" s="225"/>
      <c r="D30" s="116"/>
      <c r="E30" s="116"/>
      <c r="F30" s="116"/>
      <c r="G30" s="116"/>
      <c r="H30" s="116"/>
      <c r="I30" s="116"/>
      <c r="J30" s="232"/>
      <c r="K30" s="116"/>
      <c r="L30" s="116"/>
      <c r="M30" s="226"/>
      <c r="AB30" s="382" t="str">
        <f t="shared" si="3"/>
        <v>Maskinkostnader och entreprenad</v>
      </c>
      <c r="AC30" s="561">
        <f t="shared" si="4"/>
        <v>0</v>
      </c>
      <c r="AE30" s="291" t="s">
        <v>352</v>
      </c>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829">
        <f t="shared" si="5"/>
        <v>0</v>
      </c>
      <c r="BE30" s="830"/>
    </row>
    <row r="31" spans="1:57" s="69" customFormat="1" ht="21" x14ac:dyDescent="0.4">
      <c r="A31" s="454"/>
      <c r="B31" s="1081" t="s">
        <v>69</v>
      </c>
      <c r="C31" s="1082"/>
      <c r="D31" s="270"/>
      <c r="E31" s="262"/>
      <c r="F31" s="266"/>
      <c r="G31" s="267"/>
      <c r="H31" s="268"/>
      <c r="I31" s="267"/>
      <c r="J31" s="269"/>
      <c r="K31" s="267"/>
      <c r="L31" s="267"/>
      <c r="M31" s="259"/>
      <c r="AB31" s="382" t="str">
        <f t="shared" si="3"/>
        <v>Energikostnader</v>
      </c>
      <c r="AC31" s="561">
        <f t="shared" si="4"/>
        <v>673.44</v>
      </c>
      <c r="AE31" s="291" t="s">
        <v>352</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829">
        <f t="shared" si="5"/>
        <v>0</v>
      </c>
      <c r="BE31" s="830"/>
    </row>
    <row r="32" spans="1:57" s="69" customFormat="1" ht="21.6" thickBot="1" x14ac:dyDescent="0.45">
      <c r="A32" s="454"/>
      <c r="B32" s="287"/>
      <c r="C32" s="274" t="s">
        <v>229</v>
      </c>
      <c r="D32" s="270"/>
      <c r="E32" s="262"/>
      <c r="F32" s="276">
        <f>IF('Gårdens info'!$D$12&gt;0,J32/'Gårdens info'!$D$12,0)</f>
        <v>317.88384128809662</v>
      </c>
      <c r="G32" s="119" t="s">
        <v>57</v>
      </c>
      <c r="H32" s="502">
        <f>IF('Gårdens info'!$G$12&gt;0,F32/'Gårdens info'!$G$12,0)</f>
        <v>5.2980640214682767E-3</v>
      </c>
      <c r="I32" s="119" t="s">
        <v>206</v>
      </c>
      <c r="J32" s="237">
        <f>Egendom!AK25</f>
        <v>3178.8384128809662</v>
      </c>
      <c r="K32" s="119" t="s">
        <v>330</v>
      </c>
      <c r="L32" s="267"/>
      <c r="M32" s="259"/>
      <c r="AB32" s="382" t="str">
        <f t="shared" si="3"/>
        <v>Anställd arbetskraft</v>
      </c>
      <c r="AC32" s="561">
        <f t="shared" si="4"/>
        <v>833.75</v>
      </c>
      <c r="AE32" s="806" t="s">
        <v>354</v>
      </c>
      <c r="AF32" s="819">
        <f>SUM(AF6:AF31)</f>
        <v>13</v>
      </c>
      <c r="AG32" s="819">
        <f t="shared" ref="AG32:BC32" si="6">SUM(AG6:AG31)</f>
        <v>9</v>
      </c>
      <c r="AH32" s="819">
        <f t="shared" si="6"/>
        <v>11</v>
      </c>
      <c r="AI32" s="819">
        <f t="shared" si="6"/>
        <v>3</v>
      </c>
      <c r="AJ32" s="819">
        <f t="shared" si="6"/>
        <v>5</v>
      </c>
      <c r="AK32" s="819">
        <f t="shared" si="6"/>
        <v>3</v>
      </c>
      <c r="AL32" s="819">
        <f t="shared" si="6"/>
        <v>11</v>
      </c>
      <c r="AM32" s="819">
        <f t="shared" si="6"/>
        <v>5</v>
      </c>
      <c r="AN32" s="819">
        <f t="shared" si="6"/>
        <v>19</v>
      </c>
      <c r="AO32" s="819">
        <f t="shared" si="6"/>
        <v>5</v>
      </c>
      <c r="AP32" s="819">
        <f t="shared" si="6"/>
        <v>15</v>
      </c>
      <c r="AQ32" s="819">
        <f t="shared" si="6"/>
        <v>6</v>
      </c>
      <c r="AR32" s="819">
        <f t="shared" si="6"/>
        <v>12</v>
      </c>
      <c r="AS32" s="819">
        <f t="shared" si="6"/>
        <v>18</v>
      </c>
      <c r="AT32" s="819">
        <f t="shared" si="6"/>
        <v>25</v>
      </c>
      <c r="AU32" s="819">
        <f t="shared" si="6"/>
        <v>13</v>
      </c>
      <c r="AV32" s="819">
        <f t="shared" si="6"/>
        <v>20</v>
      </c>
      <c r="AW32" s="819">
        <f t="shared" si="6"/>
        <v>15</v>
      </c>
      <c r="AX32" s="819">
        <f t="shared" si="6"/>
        <v>18</v>
      </c>
      <c r="AY32" s="819">
        <f t="shared" si="6"/>
        <v>13</v>
      </c>
      <c r="AZ32" s="819">
        <f t="shared" si="6"/>
        <v>12</v>
      </c>
      <c r="BA32" s="819">
        <f t="shared" si="6"/>
        <v>6</v>
      </c>
      <c r="BB32" s="819">
        <f t="shared" si="6"/>
        <v>9</v>
      </c>
      <c r="BC32" s="819">
        <f t="shared" si="6"/>
        <v>6</v>
      </c>
      <c r="BD32" s="819">
        <f>SUM(BD6:BD31)</f>
        <v>272</v>
      </c>
      <c r="BE32" s="820"/>
    </row>
    <row r="33" spans="1:57" s="192" customFormat="1" ht="21" x14ac:dyDescent="0.4">
      <c r="A33" s="455"/>
      <c r="B33" s="287"/>
      <c r="C33" s="274" t="s">
        <v>230</v>
      </c>
      <c r="D33" s="270"/>
      <c r="E33" s="262"/>
      <c r="F33" s="276">
        <f>IF('Gårdens info'!$D$12&gt;0,J33/'Gårdens info'!$D$12,0)</f>
        <v>198.67740080506036</v>
      </c>
      <c r="G33" s="119" t="s">
        <v>57</v>
      </c>
      <c r="H33" s="502">
        <f>IF('Gårdens info'!$G$12&gt;0,F33/'Gårdens info'!$G$12,0)</f>
        <v>3.3112900134176725E-3</v>
      </c>
      <c r="I33" s="119" t="s">
        <v>206</v>
      </c>
      <c r="J33" s="237">
        <f>Egendom!BI25</f>
        <v>1986.7740080506037</v>
      </c>
      <c r="K33" s="119" t="s">
        <v>330</v>
      </c>
      <c r="L33" s="267"/>
      <c r="M33" s="259"/>
      <c r="N33" s="69"/>
      <c r="O33" s="69"/>
      <c r="P33" s="69"/>
      <c r="S33" s="69"/>
      <c r="T33" s="69"/>
      <c r="U33" s="69"/>
      <c r="AB33" s="384" t="s">
        <v>231</v>
      </c>
      <c r="AC33" s="384">
        <f>F26</f>
        <v>238.2978723404255</v>
      </c>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row>
    <row r="34" spans="1:57" ht="17.399999999999999" customHeight="1" x14ac:dyDescent="0.3">
      <c r="B34" s="287"/>
      <c r="C34" s="1083" t="s">
        <v>232</v>
      </c>
      <c r="D34" s="1083"/>
      <c r="E34" s="262"/>
      <c r="F34" s="276">
        <f>IF('Gårdens info'!$D$12&gt;0,J34/'Gårdens info'!$D$12,0)</f>
        <v>79.470960322024155</v>
      </c>
      <c r="G34" s="119" t="s">
        <v>57</v>
      </c>
      <c r="H34" s="502">
        <f>IF('Gårdens info'!$G$12&gt;0,F34/'Gårdens info'!$G$12,0)</f>
        <v>1.3245160053670692E-3</v>
      </c>
      <c r="I34" s="119" t="s">
        <v>206</v>
      </c>
      <c r="J34" s="237">
        <f>Egendom!CG25</f>
        <v>794.70960322024155</v>
      </c>
      <c r="K34" s="119" t="s">
        <v>330</v>
      </c>
      <c r="L34" s="267"/>
      <c r="M34" s="259"/>
      <c r="N34" s="69"/>
      <c r="O34" s="69"/>
      <c r="P34" s="69"/>
      <c r="S34" s="69"/>
      <c r="T34" s="69"/>
      <c r="U34" s="69"/>
      <c r="AB34" s="382" t="s">
        <v>233</v>
      </c>
      <c r="AC34" s="384">
        <f>F27</f>
        <v>187.2340425531915</v>
      </c>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row>
    <row r="35" spans="1:57" ht="21" x14ac:dyDescent="0.4">
      <c r="B35" s="287"/>
      <c r="C35" s="274" t="s">
        <v>234</v>
      </c>
      <c r="D35" s="270"/>
      <c r="E35" s="262"/>
      <c r="F35" s="276">
        <f>IF('Gårdens info'!$D$12&gt;0,J35/'Gårdens info'!$D$12,0)</f>
        <v>15.89419206440483</v>
      </c>
      <c r="G35" s="119" t="s">
        <v>57</v>
      </c>
      <c r="H35" s="502">
        <f>IF('Gårdens info'!$G$12&gt;0,F35/'Gårdens info'!$G$12,0)</f>
        <v>2.6490320107341381E-4</v>
      </c>
      <c r="I35" s="119" t="s">
        <v>206</v>
      </c>
      <c r="J35" s="237">
        <f>Egendom!DE25</f>
        <v>158.94192064404831</v>
      </c>
      <c r="K35" s="119" t="s">
        <v>330</v>
      </c>
      <c r="L35" s="267"/>
      <c r="M35" s="259"/>
      <c r="N35" s="192"/>
      <c r="O35" s="192"/>
      <c r="P35" s="192"/>
      <c r="S35" s="192"/>
      <c r="T35" s="192"/>
      <c r="U35" s="192"/>
      <c r="AB35" s="382" t="s">
        <v>235</v>
      </c>
      <c r="AC35" s="385">
        <f>F36</f>
        <v>611.92639447958607</v>
      </c>
    </row>
    <row r="36" spans="1:57" ht="20.399999999999999" x14ac:dyDescent="0.35">
      <c r="B36" s="289"/>
      <c r="C36" s="278" t="s">
        <v>54</v>
      </c>
      <c r="D36" s="279"/>
      <c r="E36" s="262"/>
      <c r="F36" s="280">
        <f>SUM(F32:F35)</f>
        <v>611.92639447958607</v>
      </c>
      <c r="G36" s="119" t="s">
        <v>57</v>
      </c>
      <c r="H36" s="591">
        <f>SUM(H32:H35)</f>
        <v>1.0198773241326432E-2</v>
      </c>
      <c r="I36" s="119" t="s">
        <v>206</v>
      </c>
      <c r="J36" s="280">
        <f t="shared" ref="J36" si="7">SUM(J32:J35)</f>
        <v>6119.2639447958591</v>
      </c>
      <c r="K36" s="119" t="s">
        <v>330</v>
      </c>
      <c r="L36" s="281"/>
      <c r="M36" s="259"/>
      <c r="AB36" s="382" t="s">
        <v>236</v>
      </c>
      <c r="AC36" s="386">
        <f>F43</f>
        <v>1566.0936170212767</v>
      </c>
    </row>
    <row r="37" spans="1:57" s="69" customFormat="1" ht="21" x14ac:dyDescent="0.4">
      <c r="A37" s="454"/>
      <c r="B37" s="287"/>
      <c r="C37" s="274"/>
      <c r="D37" s="270"/>
      <c r="E37" s="262"/>
      <c r="F37" s="276"/>
      <c r="G37" s="119"/>
      <c r="H37" s="277"/>
      <c r="I37" s="119"/>
      <c r="J37" s="237"/>
      <c r="K37" s="119"/>
      <c r="L37" s="267"/>
      <c r="M37" s="259"/>
      <c r="N37"/>
      <c r="O37"/>
      <c r="P37"/>
      <c r="S37"/>
      <c r="T37"/>
      <c r="U37"/>
      <c r="AB37" s="382" t="s">
        <v>237</v>
      </c>
      <c r="AC37" s="386">
        <f>F50</f>
        <v>96.109189189189181</v>
      </c>
      <c r="AE37"/>
      <c r="AF37"/>
      <c r="AG37"/>
      <c r="AH37"/>
      <c r="AI37"/>
      <c r="AJ37"/>
      <c r="AK37"/>
      <c r="AL37"/>
      <c r="AM37"/>
      <c r="AN37"/>
      <c r="AO37"/>
      <c r="AP37"/>
      <c r="AQ37"/>
      <c r="AR37"/>
      <c r="AS37"/>
      <c r="AT37"/>
      <c r="AU37"/>
      <c r="AV37"/>
      <c r="AW37"/>
      <c r="AX37"/>
      <c r="AY37"/>
      <c r="AZ37"/>
      <c r="BA37"/>
      <c r="BB37"/>
      <c r="BC37"/>
      <c r="BD37"/>
      <c r="BE37"/>
    </row>
    <row r="38" spans="1:57" s="69" customFormat="1" ht="17.399999999999999" x14ac:dyDescent="0.3">
      <c r="A38" s="454"/>
      <c r="B38" s="1081" t="s">
        <v>83</v>
      </c>
      <c r="C38" s="1082"/>
      <c r="D38" s="1082"/>
      <c r="E38" s="262"/>
      <c r="F38" s="276"/>
      <c r="G38" s="119"/>
      <c r="H38" s="277"/>
      <c r="I38" s="119"/>
      <c r="J38" s="237"/>
      <c r="K38" s="119"/>
      <c r="L38" s="267"/>
      <c r="M38" s="259"/>
      <c r="N38"/>
      <c r="O38"/>
      <c r="P38"/>
      <c r="S38"/>
      <c r="T38"/>
      <c r="U38"/>
      <c r="AB38" s="382" t="s">
        <v>238</v>
      </c>
      <c r="AC38" s="386">
        <f>F56</f>
        <v>12.76595744680851</v>
      </c>
    </row>
    <row r="39" spans="1:57" s="69" customFormat="1" ht="21" x14ac:dyDescent="0.4">
      <c r="A39" s="454"/>
      <c r="B39" s="287"/>
      <c r="C39" s="274" t="s">
        <v>229</v>
      </c>
      <c r="D39" s="270"/>
      <c r="E39" s="262"/>
      <c r="F39" s="276">
        <f>IF('Gårdens info'!$D$12&gt;0,J39/'Gårdens info'!$D$12,0)</f>
        <v>844.25531914893634</v>
      </c>
      <c r="G39" s="119" t="s">
        <v>57</v>
      </c>
      <c r="H39" s="502">
        <f>IF('Gårdens info'!$G$12&gt;0,F39/'Gårdens info'!$G$12,0)</f>
        <v>1.4070921985815606E-2</v>
      </c>
      <c r="I39" s="119" t="s">
        <v>206</v>
      </c>
      <c r="J39" s="237">
        <f>Egendom!AK61</f>
        <v>8442.5531914893636</v>
      </c>
      <c r="K39" s="119" t="s">
        <v>330</v>
      </c>
      <c r="L39" s="267"/>
      <c r="M39" s="259"/>
      <c r="AB39" s="382" t="s">
        <v>192</v>
      </c>
      <c r="AC39" s="384">
        <f>F62</f>
        <v>3944</v>
      </c>
    </row>
    <row r="40" spans="1:57" s="5" customFormat="1" ht="21" x14ac:dyDescent="0.4">
      <c r="A40" s="452"/>
      <c r="B40" s="287"/>
      <c r="C40" s="274" t="s">
        <v>230</v>
      </c>
      <c r="D40" s="270"/>
      <c r="E40" s="262"/>
      <c r="F40" s="276">
        <f>IF('Gårdens info'!$D$12&gt;0,J40/'Gårdens info'!$D$12,0)</f>
        <v>316.595744680851</v>
      </c>
      <c r="G40" s="119" t="s">
        <v>57</v>
      </c>
      <c r="H40" s="502">
        <f>IF('Gårdens info'!$G$12&gt;0,F40/'Gårdens info'!$G$12,0)</f>
        <v>5.2765957446808502E-3</v>
      </c>
      <c r="I40" s="119" t="s">
        <v>206</v>
      </c>
      <c r="J40" s="237">
        <f>Egendom!BI61</f>
        <v>3165.9574468085102</v>
      </c>
      <c r="K40" s="119" t="s">
        <v>330</v>
      </c>
      <c r="L40" s="267"/>
      <c r="M40" s="259"/>
      <c r="N40" s="69"/>
      <c r="O40" s="69"/>
      <c r="P40" s="69"/>
      <c r="Q40" s="69"/>
      <c r="R40" s="69"/>
      <c r="S40" s="69"/>
      <c r="T40" s="69"/>
      <c r="U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row>
    <row r="41" spans="1:57" s="5" customFormat="1" ht="17.399999999999999" customHeight="1" x14ac:dyDescent="0.3">
      <c r="A41" s="452"/>
      <c r="B41" s="287"/>
      <c r="C41" s="1083" t="s">
        <v>232</v>
      </c>
      <c r="D41" s="1083"/>
      <c r="E41" s="262"/>
      <c r="F41" s="276">
        <f>IF('Gårdens info'!$D$12&gt;0,J41/'Gårdens info'!$D$12,0)</f>
        <v>379.91489361702133</v>
      </c>
      <c r="G41" s="119" t="s">
        <v>57</v>
      </c>
      <c r="H41" s="502">
        <f>IF('Gårdens info'!$G$12&gt;0,F41/'Gårdens info'!$G$12,0)</f>
        <v>6.3319148936170225E-3</v>
      </c>
      <c r="I41" s="119" t="s">
        <v>206</v>
      </c>
      <c r="J41" s="237">
        <f>Egendom!CG61</f>
        <v>3799.1489361702133</v>
      </c>
      <c r="K41" s="119" t="s">
        <v>330</v>
      </c>
      <c r="L41" s="267"/>
      <c r="M41" s="259"/>
      <c r="N41" s="69"/>
      <c r="O41" s="69"/>
      <c r="P41" s="69"/>
      <c r="Q41" s="69"/>
      <c r="R41" s="69"/>
      <c r="S41" s="69"/>
      <c r="T41" s="69"/>
      <c r="U41" s="69"/>
    </row>
    <row r="42" spans="1:57" s="5" customFormat="1" ht="21" x14ac:dyDescent="0.4">
      <c r="A42" s="452"/>
      <c r="B42" s="287"/>
      <c r="C42" s="274" t="s">
        <v>234</v>
      </c>
      <c r="D42" s="270"/>
      <c r="E42" s="262"/>
      <c r="F42" s="276">
        <f>IF('Gårdens info'!$D$12&gt;0,J42/'Gårdens info'!$D$12,0)</f>
        <v>25.327659574468086</v>
      </c>
      <c r="G42" s="119" t="s">
        <v>57</v>
      </c>
      <c r="H42" s="502">
        <f>IF('Gårdens info'!$G$12&gt;0,F42/'Gårdens info'!$G$12,0)</f>
        <v>4.2212765957446813E-4</v>
      </c>
      <c r="I42" s="119" t="s">
        <v>206</v>
      </c>
      <c r="J42" s="237">
        <f>Egendom!DE61</f>
        <v>253.27659574468086</v>
      </c>
      <c r="K42" s="119" t="s">
        <v>330</v>
      </c>
      <c r="L42" s="267"/>
      <c r="M42" s="259"/>
    </row>
    <row r="43" spans="1:57" s="5" customFormat="1" ht="20.399999999999999" x14ac:dyDescent="0.35">
      <c r="A43" s="452"/>
      <c r="B43" s="289"/>
      <c r="C43" s="278" t="s">
        <v>54</v>
      </c>
      <c r="D43" s="279"/>
      <c r="E43" s="262"/>
      <c r="F43" s="280">
        <f>SUM(F39:F42)</f>
        <v>1566.0936170212767</v>
      </c>
      <c r="G43" s="119" t="s">
        <v>57</v>
      </c>
      <c r="H43" s="591">
        <f>SUM(H39:H42)*1.2</f>
        <v>3.1321872340425536E-2</v>
      </c>
      <c r="I43" s="119" t="s">
        <v>206</v>
      </c>
      <c r="J43" s="280">
        <f t="shared" ref="J43" si="8">SUM(J39:J42)</f>
        <v>15660.936170212768</v>
      </c>
      <c r="K43" s="119" t="s">
        <v>330</v>
      </c>
      <c r="L43" s="281"/>
      <c r="M43" s="259"/>
    </row>
    <row r="44" spans="1:57" s="5" customFormat="1" ht="21" x14ac:dyDescent="0.4">
      <c r="A44" s="452"/>
      <c r="B44" s="287"/>
      <c r="C44" s="274"/>
      <c r="D44" s="270"/>
      <c r="E44" s="262"/>
      <c r="F44" s="276"/>
      <c r="G44" s="119"/>
      <c r="H44" s="277"/>
      <c r="I44" s="119"/>
      <c r="J44" s="237"/>
      <c r="K44" s="119"/>
      <c r="L44" s="267"/>
      <c r="M44" s="259"/>
    </row>
    <row r="45" spans="1:57" s="5" customFormat="1" ht="43.2" customHeight="1" x14ac:dyDescent="0.3">
      <c r="A45" s="452"/>
      <c r="B45" s="1081" t="s">
        <v>355</v>
      </c>
      <c r="C45" s="1082"/>
      <c r="D45" s="1082"/>
      <c r="E45" s="262"/>
      <c r="F45" s="276"/>
      <c r="G45" s="119"/>
      <c r="H45" s="277"/>
      <c r="I45" s="119"/>
      <c r="J45" s="237"/>
      <c r="K45" s="119"/>
      <c r="L45" s="267"/>
      <c r="M45" s="259"/>
    </row>
    <row r="46" spans="1:57" ht="21" x14ac:dyDescent="0.4">
      <c r="B46" s="287"/>
      <c r="C46" s="274" t="s">
        <v>229</v>
      </c>
      <c r="D46" s="270"/>
      <c r="E46" s="262"/>
      <c r="F46" s="276">
        <f>IF('Gårdens info'!$D$12&gt;0,J46/'Gårdens info'!$D$12,0)</f>
        <v>61.729729729729726</v>
      </c>
      <c r="G46" s="119" t="s">
        <v>57</v>
      </c>
      <c r="H46" s="502">
        <f>IF('Gårdens info'!$G$12&gt;0,F46/'Gårdens info'!$G$12,0)</f>
        <v>1.0288288288288288E-3</v>
      </c>
      <c r="I46" s="119" t="s">
        <v>206</v>
      </c>
      <c r="J46" s="237">
        <f>Egendom!AK90</f>
        <v>617.29729729729729</v>
      </c>
      <c r="K46" s="119" t="s">
        <v>330</v>
      </c>
      <c r="L46" s="267"/>
      <c r="M46" s="259"/>
      <c r="N46" s="5"/>
      <c r="O46" s="5"/>
      <c r="P46" s="5"/>
      <c r="Q46" s="5"/>
      <c r="R46" s="5"/>
      <c r="S46" s="5"/>
      <c r="T46" s="5"/>
      <c r="U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row>
    <row r="47" spans="1:57" s="5" customFormat="1" ht="21" x14ac:dyDescent="0.4">
      <c r="A47" s="452"/>
      <c r="B47" s="287"/>
      <c r="C47" s="274" t="s">
        <v>230</v>
      </c>
      <c r="D47" s="270"/>
      <c r="E47" s="262"/>
      <c r="F47" s="276">
        <f>IF('Gårdens info'!$D$12&gt;0,J47/'Gårdens info'!$D$12,0)</f>
        <v>11.162162162162161</v>
      </c>
      <c r="G47" s="119" t="s">
        <v>57</v>
      </c>
      <c r="H47" s="502">
        <f>IF('Gårdens info'!$G$12&gt;0,F47/'Gårdens info'!$G$12,0)</f>
        <v>1.8603603603603602E-4</v>
      </c>
      <c r="I47" s="119" t="s">
        <v>206</v>
      </c>
      <c r="J47" s="237">
        <f>Egendom!BI90</f>
        <v>111.62162162162161</v>
      </c>
      <c r="K47" s="119" t="s">
        <v>330</v>
      </c>
      <c r="L47" s="267"/>
      <c r="M47" s="259"/>
      <c r="AE47"/>
      <c r="AF47"/>
      <c r="AG47"/>
      <c r="AH47"/>
      <c r="AI47"/>
      <c r="AJ47"/>
      <c r="AK47"/>
      <c r="AL47"/>
      <c r="AM47"/>
      <c r="AN47"/>
      <c r="AO47"/>
      <c r="AP47"/>
      <c r="AQ47"/>
      <c r="AR47"/>
      <c r="AS47"/>
      <c r="AT47"/>
      <c r="AU47"/>
      <c r="AV47"/>
      <c r="AW47"/>
      <c r="AX47"/>
      <c r="AY47"/>
      <c r="AZ47"/>
      <c r="BA47"/>
      <c r="BB47"/>
      <c r="BC47"/>
      <c r="BD47"/>
      <c r="BE47"/>
    </row>
    <row r="48" spans="1:57" s="5" customFormat="1" ht="17.399999999999999" customHeight="1" x14ac:dyDescent="0.3">
      <c r="A48" s="452"/>
      <c r="B48" s="287"/>
      <c r="C48" s="1083" t="s">
        <v>232</v>
      </c>
      <c r="D48" s="1083"/>
      <c r="E48" s="262"/>
      <c r="F48" s="276">
        <f>IF('Gårdens info'!$D$12&gt;0,J48/'Gårdens info'!$D$12,0)</f>
        <v>22.324324324324323</v>
      </c>
      <c r="G48" s="119" t="s">
        <v>57</v>
      </c>
      <c r="H48" s="502">
        <f>IF('Gårdens info'!$G$12&gt;0,F48/'Gårdens info'!$G$12,0)</f>
        <v>3.7207207207207204E-4</v>
      </c>
      <c r="I48" s="119" t="s">
        <v>206</v>
      </c>
      <c r="J48" s="237">
        <f>Egendom!CG90</f>
        <v>223.24324324324323</v>
      </c>
      <c r="K48" s="119" t="s">
        <v>330</v>
      </c>
      <c r="L48" s="267"/>
      <c r="M48" s="259"/>
      <c r="N48"/>
      <c r="O48"/>
      <c r="P48"/>
      <c r="Q48"/>
      <c r="R48"/>
      <c r="S48"/>
      <c r="T48"/>
      <c r="U48"/>
    </row>
    <row r="49" spans="1:13" s="5" customFormat="1" ht="21" x14ac:dyDescent="0.4">
      <c r="A49" s="452"/>
      <c r="B49" s="287"/>
      <c r="C49" s="274" t="s">
        <v>234</v>
      </c>
      <c r="D49" s="270"/>
      <c r="E49" s="262"/>
      <c r="F49" s="276">
        <f>IF('Gårdens info'!$D$12&gt;0,J49/'Gårdens info'!$D$12,0)</f>
        <v>0.89297297297297307</v>
      </c>
      <c r="G49" s="119" t="s">
        <v>57</v>
      </c>
      <c r="H49" s="502">
        <f>IF('Gårdens info'!$G$12&gt;0,F49/'Gårdens info'!$G$12,0)</f>
        <v>1.4882882882882885E-5</v>
      </c>
      <c r="I49" s="119" t="s">
        <v>206</v>
      </c>
      <c r="J49" s="237">
        <f>Egendom!DE90</f>
        <v>8.9297297297297309</v>
      </c>
      <c r="K49" s="119" t="s">
        <v>330</v>
      </c>
      <c r="L49" s="267"/>
      <c r="M49" s="259"/>
    </row>
    <row r="50" spans="1:13" s="5" customFormat="1" ht="20.399999999999999" x14ac:dyDescent="0.35">
      <c r="A50" s="452"/>
      <c r="B50" s="289"/>
      <c r="C50" s="278" t="s">
        <v>54</v>
      </c>
      <c r="D50" s="279"/>
      <c r="E50" s="262"/>
      <c r="F50" s="280">
        <f>SUM(F46:F49)</f>
        <v>96.109189189189181</v>
      </c>
      <c r="G50" s="119" t="s">
        <v>57</v>
      </c>
      <c r="H50" s="591">
        <f>SUM(H46:H49)</f>
        <v>1.6018198198198197E-3</v>
      </c>
      <c r="I50" s="119" t="s">
        <v>206</v>
      </c>
      <c r="J50" s="280">
        <f t="shared" ref="J50" si="9">SUM(J46:J49)</f>
        <v>961.09189189189192</v>
      </c>
      <c r="K50" s="119" t="s">
        <v>330</v>
      </c>
      <c r="L50" s="281"/>
      <c r="M50" s="259"/>
    </row>
    <row r="51" spans="1:13" s="5" customFormat="1" ht="21" x14ac:dyDescent="0.4">
      <c r="A51" s="452"/>
      <c r="B51" s="287"/>
      <c r="C51" s="274"/>
      <c r="D51" s="270"/>
      <c r="E51" s="262"/>
      <c r="F51" s="276"/>
      <c r="G51" s="119"/>
      <c r="H51" s="277"/>
      <c r="I51" s="119"/>
      <c r="J51" s="237"/>
      <c r="K51" s="119"/>
      <c r="L51" s="267"/>
      <c r="M51" s="259"/>
    </row>
    <row r="52" spans="1:13" s="5" customFormat="1" ht="21" x14ac:dyDescent="0.4">
      <c r="A52" s="452"/>
      <c r="B52" s="1084" t="s">
        <v>139</v>
      </c>
      <c r="C52" s="1085"/>
      <c r="D52" s="270"/>
      <c r="E52" s="262"/>
      <c r="F52" s="276"/>
      <c r="G52" s="119"/>
      <c r="H52" s="277"/>
      <c r="I52" s="119"/>
      <c r="J52" s="237"/>
      <c r="K52" s="119"/>
      <c r="L52" s="267"/>
      <c r="M52" s="259"/>
    </row>
    <row r="53" spans="1:13" s="5" customFormat="1" ht="21" x14ac:dyDescent="0.4">
      <c r="A53" s="452"/>
      <c r="B53" s="287"/>
      <c r="C53" s="274" t="s">
        <v>229</v>
      </c>
      <c r="D53" s="270"/>
      <c r="E53" s="262"/>
      <c r="F53" s="276">
        <f>IF('Gårdens info'!$D$12&gt;0,J53/'Gårdens info'!$D$12,0)</f>
        <v>0</v>
      </c>
      <c r="G53" s="119" t="s">
        <v>57</v>
      </c>
      <c r="H53" s="502">
        <f>IF('Gårdens info'!$G$12&gt;0,F53/'Gårdens info'!$G$12,0)</f>
        <v>0</v>
      </c>
      <c r="I53" s="119" t="s">
        <v>206</v>
      </c>
      <c r="J53" s="237">
        <f>Egendom!AK93</f>
        <v>0</v>
      </c>
      <c r="K53" s="119" t="s">
        <v>330</v>
      </c>
      <c r="L53" s="267"/>
      <c r="M53" s="259"/>
    </row>
    <row r="54" spans="1:13" s="5" customFormat="1" ht="19.95" customHeight="1" x14ac:dyDescent="0.4">
      <c r="A54" s="452"/>
      <c r="B54" s="287"/>
      <c r="C54" s="274" t="s">
        <v>230</v>
      </c>
      <c r="D54" s="270"/>
      <c r="E54" s="262"/>
      <c r="F54" s="276">
        <f>IF('Gårdens info'!$D$12&gt;0,J54/'Gårdens info'!$D$12,0)</f>
        <v>0</v>
      </c>
      <c r="G54" s="119" t="s">
        <v>57</v>
      </c>
      <c r="H54" s="502">
        <f>IF('Gårdens info'!$G$12&gt;0,F54/'Gårdens info'!$G$12,0)</f>
        <v>0</v>
      </c>
      <c r="I54" s="119" t="s">
        <v>206</v>
      </c>
      <c r="J54" s="237">
        <f>Egendom!BI93</f>
        <v>0</v>
      </c>
      <c r="K54" s="119" t="s">
        <v>330</v>
      </c>
      <c r="L54" s="267"/>
      <c r="M54" s="259"/>
    </row>
    <row r="55" spans="1:13" s="5" customFormat="1" ht="17.399999999999999" x14ac:dyDescent="0.3">
      <c r="A55" s="452"/>
      <c r="B55" s="287"/>
      <c r="C55" s="1083" t="s">
        <v>232</v>
      </c>
      <c r="D55" s="1083"/>
      <c r="E55" s="262"/>
      <c r="F55" s="276">
        <f>IF('Gårdens info'!$D$12&gt;0,J55/'Gårdens info'!$D$12,0)</f>
        <v>12.76595744680851</v>
      </c>
      <c r="G55" s="119" t="s">
        <v>57</v>
      </c>
      <c r="H55" s="502">
        <f>IF('Gårdens info'!$G$12&gt;0,F55/'Gårdens info'!$G$12,0)</f>
        <v>2.1276595744680851E-4</v>
      </c>
      <c r="I55" s="119" t="s">
        <v>206</v>
      </c>
      <c r="J55" s="237">
        <f>Egendom!CG93</f>
        <v>127.65957446808511</v>
      </c>
      <c r="K55" s="119" t="s">
        <v>330</v>
      </c>
      <c r="L55" s="267"/>
      <c r="M55" s="259"/>
    </row>
    <row r="56" spans="1:13" s="5" customFormat="1" ht="15.6" x14ac:dyDescent="0.3">
      <c r="A56" s="452"/>
      <c r="B56" s="286"/>
      <c r="C56" s="261" t="s">
        <v>54</v>
      </c>
      <c r="D56" s="261"/>
      <c r="E56" s="261"/>
      <c r="F56" s="280">
        <f>SUM(F53:F55)</f>
        <v>12.76595744680851</v>
      </c>
      <c r="G56" s="119" t="s">
        <v>57</v>
      </c>
      <c r="H56" s="591">
        <f>SUM(H53:H55)</f>
        <v>2.1276595744680851E-4</v>
      </c>
      <c r="I56" s="119" t="s">
        <v>206</v>
      </c>
      <c r="J56" s="280">
        <f t="shared" ref="J56" si="10">SUM(J53:J55)</f>
        <v>127.65957446808511</v>
      </c>
      <c r="K56" s="119" t="s">
        <v>330</v>
      </c>
      <c r="L56" s="284"/>
      <c r="M56" s="290"/>
    </row>
    <row r="57" spans="1:13" s="5" customFormat="1" ht="21" x14ac:dyDescent="0.4">
      <c r="A57" s="452"/>
      <c r="B57" s="1061" t="s">
        <v>191</v>
      </c>
      <c r="C57" s="1043"/>
      <c r="D57" s="1043"/>
      <c r="E57" s="262"/>
      <c r="F57" s="266">
        <f>F36+F43+F50+F56</f>
        <v>2286.8951581368606</v>
      </c>
      <c r="G57" s="267" t="s">
        <v>57</v>
      </c>
      <c r="H57" s="507">
        <f>H36+H43+H50+H56</f>
        <v>4.3335231359018594E-2</v>
      </c>
      <c r="I57" s="267" t="s">
        <v>206</v>
      </c>
      <c r="J57" s="269">
        <f>J36+J43+J50+J56</f>
        <v>22868.951581368605</v>
      </c>
      <c r="K57" s="267" t="s">
        <v>330</v>
      </c>
      <c r="L57" s="267"/>
      <c r="M57" s="259"/>
    </row>
    <row r="58" spans="1:13" s="5" customFormat="1" ht="15.6" x14ac:dyDescent="0.3">
      <c r="A58" s="452"/>
      <c r="B58" s="286"/>
      <c r="C58" s="262"/>
      <c r="D58" s="262"/>
      <c r="E58" s="262"/>
      <c r="F58" s="263"/>
      <c r="G58" s="243"/>
      <c r="H58" s="264"/>
      <c r="I58" s="243"/>
      <c r="J58" s="258"/>
      <c r="K58" s="243"/>
      <c r="L58" s="265"/>
      <c r="M58" s="259"/>
    </row>
    <row r="59" spans="1:13" s="5" customFormat="1" ht="21" x14ac:dyDescent="0.4">
      <c r="A59" s="452"/>
      <c r="B59" s="257" t="s">
        <v>192</v>
      </c>
      <c r="C59" s="262"/>
      <c r="D59" s="262"/>
      <c r="E59" s="262"/>
      <c r="F59" s="263"/>
      <c r="G59" s="243"/>
      <c r="H59" s="264"/>
      <c r="I59" s="243"/>
      <c r="J59" s="258"/>
      <c r="K59" s="243"/>
      <c r="L59" s="265"/>
      <c r="M59" s="259"/>
    </row>
    <row r="60" spans="1:13" s="5" customFormat="1" ht="15" x14ac:dyDescent="0.25">
      <c r="A60" s="452"/>
      <c r="B60" s="235"/>
      <c r="C60" s="228" t="s">
        <v>192</v>
      </c>
      <c r="D60" s="236"/>
      <c r="E60" s="236"/>
      <c r="F60" s="237">
        <f>IF('Gårdens info'!D12&gt;0,H179,0)</f>
        <v>3944</v>
      </c>
      <c r="G60" s="119" t="s">
        <v>57</v>
      </c>
      <c r="H60" s="503">
        <f>IF('Gårdens info'!G12&gt;0,F60/'Gårdens info'!$G$12,0)</f>
        <v>6.5733333333333338E-2</v>
      </c>
      <c r="I60" s="119" t="s">
        <v>206</v>
      </c>
      <c r="J60" s="237">
        <f>F60*'Gårdens info'!D12</f>
        <v>39440</v>
      </c>
      <c r="K60" s="119" t="s">
        <v>330</v>
      </c>
      <c r="L60" s="236"/>
      <c r="M60" s="239"/>
    </row>
    <row r="61" spans="1:13" s="5" customFormat="1" ht="17.399999999999999" x14ac:dyDescent="0.3">
      <c r="A61" s="452"/>
      <c r="B61" s="248"/>
      <c r="C61" s="245"/>
      <c r="D61" s="249"/>
      <c r="E61" s="249"/>
      <c r="F61" s="250"/>
      <c r="G61" s="120"/>
      <c r="H61" s="249"/>
      <c r="I61" s="249"/>
      <c r="J61" s="249"/>
      <c r="K61" s="249"/>
      <c r="L61" s="249"/>
      <c r="M61" s="234"/>
    </row>
    <row r="62" spans="1:13" s="5" customFormat="1" ht="21" x14ac:dyDescent="0.4">
      <c r="A62" s="452"/>
      <c r="B62" s="345" t="s">
        <v>194</v>
      </c>
      <c r="C62" s="346"/>
      <c r="D62" s="346"/>
      <c r="E62" s="262"/>
      <c r="F62" s="266">
        <f>F60</f>
        <v>3944</v>
      </c>
      <c r="G62" s="267" t="s">
        <v>57</v>
      </c>
      <c r="H62" s="507">
        <f>H60</f>
        <v>6.5733333333333338E-2</v>
      </c>
      <c r="I62" s="267" t="s">
        <v>206</v>
      </c>
      <c r="J62" s="269">
        <f>J60</f>
        <v>39440</v>
      </c>
      <c r="K62" s="267" t="s">
        <v>330</v>
      </c>
      <c r="L62" s="267"/>
      <c r="M62" s="259"/>
    </row>
    <row r="63" spans="1:13" s="5" customFormat="1" ht="21" x14ac:dyDescent="0.4">
      <c r="A63" s="452"/>
      <c r="B63" s="288"/>
      <c r="C63" s="270"/>
      <c r="D63" s="270"/>
      <c r="E63" s="262"/>
      <c r="F63" s="266"/>
      <c r="G63" s="267"/>
      <c r="H63" s="507"/>
      <c r="I63" s="267"/>
      <c r="J63" s="269"/>
      <c r="K63" s="267"/>
      <c r="L63" s="267"/>
      <c r="M63" s="259"/>
    </row>
    <row r="64" spans="1:13" s="5" customFormat="1" ht="21" x14ac:dyDescent="0.4">
      <c r="A64" s="452"/>
      <c r="B64" s="1061" t="s">
        <v>356</v>
      </c>
      <c r="C64" s="1043"/>
      <c r="D64" s="1043"/>
      <c r="E64" s="262"/>
      <c r="F64" s="266">
        <f>F28+F57+F62</f>
        <v>11538.617073030478</v>
      </c>
      <c r="G64" s="267" t="s">
        <v>57</v>
      </c>
      <c r="H64" s="573">
        <f>H28+H57+H62</f>
        <v>0.19753059660724553</v>
      </c>
      <c r="I64" s="267" t="s">
        <v>206</v>
      </c>
      <c r="J64" s="266">
        <f>J28+J57+J62</f>
        <v>115386.17073030477</v>
      </c>
      <c r="K64" s="267" t="s">
        <v>330</v>
      </c>
      <c r="L64" s="267"/>
      <c r="M64" s="259"/>
    </row>
    <row r="65" spans="1:57" s="5" customFormat="1" ht="21" x14ac:dyDescent="0.4">
      <c r="A65" s="452"/>
      <c r="B65" s="288"/>
      <c r="C65" s="270"/>
      <c r="D65" s="270"/>
      <c r="E65" s="262"/>
      <c r="F65" s="266"/>
      <c r="G65" s="267"/>
      <c r="H65" s="268"/>
      <c r="I65" s="267"/>
      <c r="J65" s="269"/>
      <c r="K65" s="267"/>
      <c r="L65" s="267"/>
      <c r="M65" s="259"/>
    </row>
    <row r="66" spans="1:57" s="5" customFormat="1" ht="21.6" thickBot="1" x14ac:dyDescent="0.45">
      <c r="A66" s="452"/>
      <c r="B66" s="1059" t="s">
        <v>198</v>
      </c>
      <c r="C66" s="1060"/>
      <c r="D66" s="1060"/>
      <c r="E66" s="253"/>
      <c r="F66" s="292">
        <f>F11-F28-F57-F62</f>
        <v>31488.482926969518</v>
      </c>
      <c r="G66" s="293" t="s">
        <v>57</v>
      </c>
      <c r="H66" s="510">
        <f>H11-H28-H57-H62</f>
        <v>0.51958773672608771</v>
      </c>
      <c r="I66" s="293" t="s">
        <v>206</v>
      </c>
      <c r="J66" s="292">
        <f>J11-J28-J57-J62</f>
        <v>314884.82926969521</v>
      </c>
      <c r="K66" s="293" t="s">
        <v>330</v>
      </c>
      <c r="L66" s="293"/>
      <c r="M66" s="254"/>
    </row>
    <row r="67" spans="1:57" s="5" customFormat="1" ht="21" x14ac:dyDescent="0.4">
      <c r="A67" s="452"/>
      <c r="B67" s="55"/>
      <c r="C67"/>
      <c r="D67"/>
      <c r="E67"/>
      <c r="F67"/>
      <c r="G67"/>
      <c r="H67"/>
      <c r="I67"/>
      <c r="J67"/>
      <c r="K67"/>
      <c r="L67"/>
      <c r="M67"/>
    </row>
    <row r="68" spans="1:57" s="194" customFormat="1" ht="16.2" thickBot="1" x14ac:dyDescent="0.35">
      <c r="A68" s="456"/>
      <c r="B68"/>
      <c r="C68"/>
      <c r="D68"/>
      <c r="E68"/>
      <c r="F68"/>
      <c r="G68"/>
      <c r="H68"/>
      <c r="I68"/>
      <c r="J68"/>
      <c r="K68"/>
      <c r="L68"/>
      <c r="M68"/>
      <c r="N68" s="5"/>
      <c r="O68" s="5"/>
      <c r="P68" s="5"/>
      <c r="Q68" s="5"/>
      <c r="R68" s="5"/>
      <c r="S68" s="5"/>
      <c r="T68" s="5"/>
      <c r="U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row>
    <row r="69" spans="1:57" s="5" customFormat="1" ht="21.6" thickBot="1" x14ac:dyDescent="0.45">
      <c r="A69" s="452"/>
      <c r="B69" s="1078" t="s">
        <v>240</v>
      </c>
      <c r="C69" s="1079"/>
      <c r="D69" s="1079"/>
      <c r="E69" s="1080"/>
      <c r="F69"/>
      <c r="G69"/>
      <c r="H69"/>
      <c r="I69"/>
      <c r="J69"/>
      <c r="K69"/>
      <c r="L69" s="1073" t="s">
        <v>241</v>
      </c>
      <c r="M69" s="1073"/>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4"/>
      <c r="BB69" s="194"/>
      <c r="BC69" s="194"/>
      <c r="BD69" s="194"/>
      <c r="BE69" s="194"/>
    </row>
    <row r="70" spans="1:57" s="5" customFormat="1" ht="21" x14ac:dyDescent="0.4">
      <c r="A70" s="452"/>
      <c r="B70" s="334"/>
      <c r="C70" s="334"/>
      <c r="D70" s="334"/>
      <c r="E70" s="334"/>
      <c r="F70" s="116"/>
      <c r="G70" s="116"/>
      <c r="H70" s="116"/>
      <c r="I70" s="116"/>
      <c r="J70" s="116"/>
      <c r="K70" s="116"/>
      <c r="L70" s="461"/>
      <c r="M70" s="461"/>
    </row>
    <row r="71" spans="1:57" ht="15.6" x14ac:dyDescent="0.3">
      <c r="B71" s="89" t="s">
        <v>242</v>
      </c>
      <c r="C71" s="44"/>
      <c r="D71" s="44"/>
      <c r="E71" s="44"/>
      <c r="F71" s="1077" t="s">
        <v>114</v>
      </c>
      <c r="G71" s="1077"/>
      <c r="H71" s="1077" t="s">
        <v>113</v>
      </c>
      <c r="I71" s="1077"/>
      <c r="J71" s="1077" t="s">
        <v>243</v>
      </c>
      <c r="K71" s="1077"/>
      <c r="L71" s="111" t="s">
        <v>244</v>
      </c>
      <c r="M71" s="46"/>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row>
    <row r="72" spans="1:57" ht="13.8" thickBot="1" x14ac:dyDescent="0.3">
      <c r="B72" s="48"/>
      <c r="C72" s="44"/>
      <c r="D72" s="44"/>
      <c r="E72" s="44"/>
      <c r="F72" s="44"/>
      <c r="G72" s="44"/>
      <c r="H72" s="44"/>
      <c r="I72" s="44"/>
      <c r="J72" s="46"/>
      <c r="K72" s="46"/>
      <c r="L72" s="46"/>
      <c r="M72" s="46"/>
    </row>
    <row r="73" spans="1:57" ht="13.8" thickBot="1" x14ac:dyDescent="0.3">
      <c r="B73" s="44"/>
      <c r="C73" s="45" t="s">
        <v>161</v>
      </c>
      <c r="D73" s="46"/>
      <c r="E73" s="44"/>
      <c r="F73" s="74">
        <v>1000000</v>
      </c>
      <c r="G73" s="44" t="s">
        <v>357</v>
      </c>
      <c r="H73" s="74">
        <v>6.9999999999999999E-4</v>
      </c>
      <c r="I73" s="49" t="s">
        <v>246</v>
      </c>
      <c r="J73" s="191">
        <f>F73*H73</f>
        <v>700</v>
      </c>
      <c r="K73" s="44" t="s">
        <v>57</v>
      </c>
      <c r="L73" s="44"/>
      <c r="M73" s="46"/>
    </row>
    <row r="74" spans="1:57" s="5" customFormat="1" x14ac:dyDescent="0.25">
      <c r="A74" s="452"/>
      <c r="B74" s="50"/>
      <c r="C74" s="50" t="s">
        <v>54</v>
      </c>
      <c r="D74" s="466"/>
      <c r="E74" s="50"/>
      <c r="F74" s="218"/>
      <c r="G74" s="50"/>
      <c r="H74" s="467"/>
      <c r="I74" s="219"/>
      <c r="J74" s="220"/>
      <c r="K74" s="50"/>
      <c r="L74" s="50"/>
      <c r="M74" s="50"/>
      <c r="AE74"/>
      <c r="AF74"/>
      <c r="AG74"/>
      <c r="AH74"/>
      <c r="AI74"/>
      <c r="AJ74"/>
      <c r="AK74"/>
      <c r="AL74"/>
      <c r="AM74"/>
      <c r="AN74"/>
      <c r="AO74"/>
      <c r="AP74"/>
      <c r="AQ74"/>
      <c r="AR74"/>
      <c r="AS74"/>
      <c r="AT74"/>
      <c r="AU74"/>
      <c r="AV74"/>
      <c r="AW74"/>
      <c r="AX74"/>
      <c r="AY74"/>
      <c r="AZ74"/>
      <c r="BA74"/>
      <c r="BB74"/>
      <c r="BC74"/>
      <c r="BD74"/>
      <c r="BE74"/>
    </row>
    <row r="75" spans="1:57" x14ac:dyDescent="0.25">
      <c r="B75" s="435"/>
      <c r="C75" s="435"/>
      <c r="D75" s="464"/>
      <c r="E75" s="435"/>
      <c r="F75" s="465"/>
      <c r="G75" s="435"/>
      <c r="H75" s="246"/>
      <c r="I75" s="437"/>
      <c r="J75" s="232"/>
      <c r="K75" s="435"/>
      <c r="L75" s="116"/>
      <c r="M75" s="116"/>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row>
    <row r="76" spans="1:57" s="5" customFormat="1" ht="15.6" x14ac:dyDescent="0.3">
      <c r="A76" s="452"/>
      <c r="B76" s="96" t="s">
        <v>247</v>
      </c>
      <c r="C76" s="97"/>
      <c r="D76" s="97"/>
      <c r="E76" s="97"/>
      <c r="F76" s="1074" t="s">
        <v>114</v>
      </c>
      <c r="G76" s="1074"/>
      <c r="H76" s="1074" t="s">
        <v>113</v>
      </c>
      <c r="I76" s="1074"/>
      <c r="J76" s="1074" t="s">
        <v>243</v>
      </c>
      <c r="K76" s="1074"/>
      <c r="L76" s="99"/>
      <c r="M76" s="99"/>
      <c r="AE76"/>
      <c r="AF76"/>
      <c r="AG76"/>
      <c r="AH76"/>
      <c r="AI76"/>
      <c r="AJ76"/>
      <c r="AK76"/>
      <c r="AL76"/>
      <c r="AM76"/>
      <c r="AN76"/>
      <c r="AO76"/>
      <c r="AP76"/>
      <c r="AQ76"/>
      <c r="AR76"/>
      <c r="AS76"/>
      <c r="AT76"/>
      <c r="AU76"/>
      <c r="AV76"/>
      <c r="AW76"/>
      <c r="AX76"/>
      <c r="AY76"/>
      <c r="AZ76"/>
      <c r="BA76"/>
      <c r="BB76"/>
      <c r="BC76"/>
      <c r="BD76"/>
      <c r="BE76"/>
    </row>
    <row r="77" spans="1:57" s="56" customFormat="1" ht="18" thickBot="1" x14ac:dyDescent="0.35">
      <c r="A77" s="453"/>
      <c r="B77" s="97"/>
      <c r="C77" s="97"/>
      <c r="D77" s="97"/>
      <c r="E77" s="97"/>
      <c r="F77" s="97"/>
      <c r="G77" s="97"/>
      <c r="H77" s="98"/>
      <c r="I77" s="98"/>
      <c r="J77" s="99"/>
      <c r="K77" s="99"/>
      <c r="L77" s="99"/>
      <c r="M77" s="99"/>
      <c r="N77" s="5"/>
      <c r="O77" s="5"/>
      <c r="P77" s="5"/>
      <c r="Q77" s="5"/>
      <c r="R77" s="5"/>
      <c r="S77" s="5"/>
      <c r="T77" s="5"/>
      <c r="U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row>
    <row r="78" spans="1:57" s="69" customFormat="1" ht="18" thickBot="1" x14ac:dyDescent="0.35">
      <c r="A78" s="454"/>
      <c r="B78" s="97"/>
      <c r="C78" s="97" t="s">
        <v>358</v>
      </c>
      <c r="D78" s="99"/>
      <c r="E78" s="97"/>
      <c r="F78" s="94">
        <v>600</v>
      </c>
      <c r="G78" s="97" t="s">
        <v>212</v>
      </c>
      <c r="H78" s="77">
        <f>0.75*1</f>
        <v>0.75</v>
      </c>
      <c r="I78" s="98" t="s">
        <v>206</v>
      </c>
      <c r="J78" s="100">
        <f>F78*H78</f>
        <v>450</v>
      </c>
      <c r="K78" s="97" t="s">
        <v>57</v>
      </c>
      <c r="L78" s="99"/>
      <c r="M78" s="99"/>
      <c r="N78" s="5"/>
      <c r="O78" s="5"/>
      <c r="P78" s="5"/>
      <c r="Q78" s="5"/>
      <c r="R78" s="5"/>
      <c r="S78" s="5"/>
      <c r="T78" s="5"/>
      <c r="U78" s="5"/>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row>
    <row r="79" spans="1:57" s="5" customFormat="1" ht="18" thickBot="1" x14ac:dyDescent="0.35">
      <c r="A79" s="452"/>
      <c r="B79" s="97"/>
      <c r="C79" s="97" t="s">
        <v>359</v>
      </c>
      <c r="D79" s="99"/>
      <c r="E79" s="97"/>
      <c r="F79" s="94">
        <v>200</v>
      </c>
      <c r="G79" s="97" t="s">
        <v>212</v>
      </c>
      <c r="H79" s="77">
        <f>0.59*1</f>
        <v>0.59</v>
      </c>
      <c r="I79" s="98" t="s">
        <v>206</v>
      </c>
      <c r="J79" s="100">
        <f t="shared" ref="J79:J83" si="11">F79*H79</f>
        <v>118</v>
      </c>
      <c r="K79" s="97" t="s">
        <v>57</v>
      </c>
      <c r="L79" s="99"/>
      <c r="M79" s="99"/>
      <c r="N79" s="56"/>
      <c r="O79" s="56"/>
      <c r="P79" s="56"/>
      <c r="Q79" s="56"/>
      <c r="R79" s="56"/>
      <c r="S79" s="56"/>
      <c r="T79" s="56"/>
      <c r="U79" s="56"/>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row>
    <row r="80" spans="1:57" s="56" customFormat="1" ht="18" thickBot="1" x14ac:dyDescent="0.35">
      <c r="A80" s="453"/>
      <c r="B80" s="97"/>
      <c r="C80" s="97" t="s">
        <v>360</v>
      </c>
      <c r="D80" s="99"/>
      <c r="E80" s="97"/>
      <c r="F80" s="74">
        <v>200</v>
      </c>
      <c r="G80" s="97" t="s">
        <v>212</v>
      </c>
      <c r="H80" s="77">
        <f>0.4*1</f>
        <v>0.4</v>
      </c>
      <c r="I80" s="98" t="s">
        <v>206</v>
      </c>
      <c r="J80" s="100">
        <f t="shared" si="11"/>
        <v>80</v>
      </c>
      <c r="K80" s="97" t="s">
        <v>57</v>
      </c>
      <c r="L80" s="99"/>
      <c r="M80" s="99"/>
      <c r="N80" s="69"/>
      <c r="O80" s="69"/>
      <c r="P80" s="69"/>
      <c r="Q80" s="69"/>
      <c r="R80" s="69"/>
      <c r="S80" s="69"/>
      <c r="T80" s="69"/>
      <c r="U80" s="69"/>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row>
    <row r="81" spans="1:57" s="69" customFormat="1" ht="18" thickBot="1" x14ac:dyDescent="0.35">
      <c r="A81" s="454"/>
      <c r="B81" s="97"/>
      <c r="C81" s="97" t="s">
        <v>361</v>
      </c>
      <c r="D81" s="99"/>
      <c r="E81" s="97"/>
      <c r="F81" s="74">
        <v>1400</v>
      </c>
      <c r="G81" s="97" t="s">
        <v>212</v>
      </c>
      <c r="H81" s="77">
        <f>0.46*1</f>
        <v>0.46</v>
      </c>
      <c r="I81" s="98" t="s">
        <v>206</v>
      </c>
      <c r="J81" s="100">
        <f t="shared" si="11"/>
        <v>644</v>
      </c>
      <c r="K81" s="97" t="s">
        <v>57</v>
      </c>
      <c r="L81" s="99"/>
      <c r="M81" s="99"/>
      <c r="N81" s="5"/>
      <c r="O81" s="5"/>
      <c r="P81" s="5"/>
      <c r="Q81" s="5"/>
      <c r="R81" s="5"/>
      <c r="S81" s="5"/>
      <c r="T81" s="5"/>
      <c r="U81" s="5"/>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row>
    <row r="82" spans="1:57" s="56" customFormat="1" ht="18" thickBot="1" x14ac:dyDescent="0.35">
      <c r="A82" s="453"/>
      <c r="B82" s="97"/>
      <c r="C82" s="97" t="s">
        <v>251</v>
      </c>
      <c r="D82" s="97"/>
      <c r="E82" s="97"/>
      <c r="F82" s="74"/>
      <c r="G82" s="97" t="s">
        <v>212</v>
      </c>
      <c r="H82" s="77"/>
      <c r="I82" s="98" t="s">
        <v>206</v>
      </c>
      <c r="J82" s="100">
        <f t="shared" si="11"/>
        <v>0</v>
      </c>
      <c r="K82" s="97" t="s">
        <v>57</v>
      </c>
      <c r="L82" s="99"/>
      <c r="M82" s="9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row>
    <row r="83" spans="1:57" ht="18" thickBot="1" x14ac:dyDescent="0.35">
      <c r="B83" s="97"/>
      <c r="C83" s="97" t="s">
        <v>251</v>
      </c>
      <c r="D83" s="97"/>
      <c r="E83" s="97"/>
      <c r="F83" s="74"/>
      <c r="G83" s="97" t="s">
        <v>212</v>
      </c>
      <c r="H83" s="77"/>
      <c r="I83" s="98" t="s">
        <v>206</v>
      </c>
      <c r="J83" s="100">
        <f t="shared" si="11"/>
        <v>0</v>
      </c>
      <c r="K83" s="97" t="s">
        <v>57</v>
      </c>
      <c r="L83" s="99"/>
      <c r="M83" s="99"/>
      <c r="N83" s="69"/>
      <c r="O83" s="69"/>
      <c r="P83" s="69"/>
      <c r="Q83" s="69"/>
      <c r="R83" s="69"/>
      <c r="S83" s="69"/>
      <c r="T83" s="69"/>
      <c r="U83" s="69"/>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row>
    <row r="84" spans="1:57" s="69" customFormat="1" ht="17.399999999999999" x14ac:dyDescent="0.3">
      <c r="A84" s="454"/>
      <c r="B84" s="214"/>
      <c r="C84" s="214" t="s">
        <v>54</v>
      </c>
      <c r="D84" s="214"/>
      <c r="E84" s="214"/>
      <c r="F84" s="214"/>
      <c r="G84" s="214"/>
      <c r="H84" s="214"/>
      <c r="I84" s="215"/>
      <c r="J84" s="216">
        <f>SUM(J78:J83)</f>
        <v>1292</v>
      </c>
      <c r="K84" s="214" t="s">
        <v>57</v>
      </c>
      <c r="L84" s="214"/>
      <c r="M84" s="214"/>
      <c r="N84" s="56"/>
      <c r="O84" s="56"/>
      <c r="P84" s="56"/>
      <c r="Q84" s="56"/>
      <c r="R84" s="56"/>
      <c r="S84" s="56"/>
      <c r="T84" s="56"/>
      <c r="U84" s="56"/>
      <c r="AE84"/>
      <c r="AF84"/>
      <c r="AG84"/>
      <c r="AH84"/>
      <c r="AI84"/>
      <c r="AJ84"/>
      <c r="AK84"/>
      <c r="AL84"/>
      <c r="AM84"/>
      <c r="AN84"/>
      <c r="AO84"/>
      <c r="AP84"/>
      <c r="AQ84"/>
      <c r="AR84"/>
      <c r="AS84"/>
      <c r="AT84"/>
      <c r="AU84"/>
      <c r="AV84"/>
      <c r="AW84"/>
      <c r="AX84"/>
      <c r="AY84"/>
      <c r="AZ84"/>
      <c r="BA84"/>
      <c r="BB84"/>
      <c r="BC84"/>
      <c r="BD84"/>
      <c r="BE84"/>
    </row>
    <row r="85" spans="1:57" s="5" customFormat="1" ht="15" x14ac:dyDescent="0.25">
      <c r="A85" s="452"/>
      <c r="B85" s="97"/>
      <c r="C85" s="97"/>
      <c r="D85" s="97"/>
      <c r="E85" s="97"/>
      <c r="F85" s="97"/>
      <c r="G85" s="97"/>
      <c r="H85" s="97"/>
      <c r="I85" s="98"/>
      <c r="J85" s="100"/>
      <c r="K85" s="97"/>
      <c r="L85" s="99"/>
      <c r="M85" s="99"/>
      <c r="N85"/>
      <c r="O85"/>
      <c r="P85"/>
      <c r="Q85"/>
      <c r="R85"/>
      <c r="S85"/>
      <c r="T85"/>
      <c r="U85"/>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row>
    <row r="86" spans="1:57" s="5" customFormat="1" ht="15" x14ac:dyDescent="0.25">
      <c r="A86" s="452"/>
      <c r="B86"/>
      <c r="C86"/>
      <c r="D86"/>
      <c r="E86"/>
      <c r="F86"/>
      <c r="G86"/>
      <c r="H86"/>
      <c r="I86"/>
      <c r="J86"/>
      <c r="K86"/>
      <c r="L86"/>
      <c r="M86"/>
      <c r="N86" s="69"/>
      <c r="O86" s="69"/>
      <c r="P86" s="69"/>
      <c r="Q86" s="69"/>
      <c r="R86" s="69"/>
      <c r="S86" s="69"/>
      <c r="T86" s="69"/>
      <c r="U86" s="69"/>
    </row>
    <row r="87" spans="1:57" s="5" customFormat="1" ht="15.6" x14ac:dyDescent="0.3">
      <c r="A87" s="452"/>
      <c r="B87" s="85" t="s">
        <v>252</v>
      </c>
      <c r="C87" s="51"/>
      <c r="D87" s="51"/>
      <c r="E87" s="51"/>
      <c r="F87" s="1075" t="s">
        <v>114</v>
      </c>
      <c r="G87" s="1075"/>
      <c r="H87" s="1076" t="s">
        <v>113</v>
      </c>
      <c r="I87" s="1076"/>
      <c r="J87" s="1075" t="s">
        <v>243</v>
      </c>
      <c r="K87" s="1075"/>
      <c r="L87" s="58"/>
      <c r="M87" s="58"/>
    </row>
    <row r="88" spans="1:57" x14ac:dyDescent="0.25">
      <c r="B88" s="51"/>
      <c r="C88" s="51"/>
      <c r="D88" s="51"/>
      <c r="E88" s="51"/>
      <c r="F88" s="53"/>
      <c r="G88" s="53"/>
      <c r="H88" s="52"/>
      <c r="I88" s="52"/>
      <c r="J88" s="52"/>
      <c r="K88" s="58"/>
      <c r="L88" s="58"/>
      <c r="M88" s="58"/>
      <c r="N88" s="5"/>
      <c r="O88" s="5"/>
      <c r="P88" s="5"/>
      <c r="Q88" s="5"/>
      <c r="R88" s="5"/>
      <c r="S88" s="5"/>
      <c r="T88" s="5"/>
      <c r="U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row>
    <row r="89" spans="1:57" ht="15.6" x14ac:dyDescent="0.3">
      <c r="B89" s="85"/>
      <c r="C89" s="51"/>
      <c r="D89" s="387" t="s">
        <v>253</v>
      </c>
      <c r="E89" s="51"/>
      <c r="F89" s="59"/>
      <c r="G89" s="59"/>
      <c r="H89" s="60"/>
      <c r="I89" s="60"/>
      <c r="J89" s="59"/>
      <c r="K89" s="59"/>
      <c r="L89" s="58"/>
      <c r="M89" s="58"/>
    </row>
    <row r="90" spans="1:57" ht="13.8" thickBot="1" x14ac:dyDescent="0.3">
      <c r="B90" s="171" t="s">
        <v>254</v>
      </c>
      <c r="C90" s="51"/>
      <c r="D90" s="51"/>
      <c r="E90" s="51"/>
      <c r="F90" s="53"/>
      <c r="G90" s="53"/>
      <c r="H90" s="52"/>
      <c r="I90" s="52"/>
      <c r="J90" s="58"/>
      <c r="K90" s="58"/>
      <c r="L90" s="58"/>
      <c r="M90" s="58"/>
    </row>
    <row r="91" spans="1:57" ht="13.8" thickBot="1" x14ac:dyDescent="0.3">
      <c r="B91" s="51"/>
      <c r="C91" s="51" t="s">
        <v>362</v>
      </c>
      <c r="D91" s="58"/>
      <c r="E91" s="51"/>
      <c r="F91" s="95">
        <v>3</v>
      </c>
      <c r="G91" s="53" t="s">
        <v>256</v>
      </c>
      <c r="H91" s="77">
        <v>35</v>
      </c>
      <c r="I91" s="52" t="s">
        <v>257</v>
      </c>
      <c r="J91" s="58">
        <f>F91*H91</f>
        <v>105</v>
      </c>
      <c r="K91" s="51" t="s">
        <v>57</v>
      </c>
      <c r="L91" s="58"/>
      <c r="M91" s="58"/>
    </row>
    <row r="92" spans="1:57" ht="13.8" thickBot="1" x14ac:dyDescent="0.3">
      <c r="B92" s="51"/>
      <c r="C92" s="51" t="s">
        <v>363</v>
      </c>
      <c r="D92" s="58"/>
      <c r="E92" s="51"/>
      <c r="F92" s="95">
        <v>3</v>
      </c>
      <c r="G92" s="53" t="s">
        <v>256</v>
      </c>
      <c r="H92" s="77">
        <v>28</v>
      </c>
      <c r="I92" s="52" t="s">
        <v>257</v>
      </c>
      <c r="J92" s="58">
        <f t="shared" ref="J92:J97" si="12">F92*H92</f>
        <v>84</v>
      </c>
      <c r="K92" s="51" t="s">
        <v>57</v>
      </c>
      <c r="L92" s="58"/>
      <c r="M92" s="58"/>
    </row>
    <row r="93" spans="1:57" ht="13.8" thickBot="1" x14ac:dyDescent="0.3">
      <c r="B93" s="51"/>
      <c r="C93" s="51" t="s">
        <v>364</v>
      </c>
      <c r="D93" s="58"/>
      <c r="E93" s="51"/>
      <c r="F93" s="95">
        <v>10</v>
      </c>
      <c r="G93" s="53" t="s">
        <v>256</v>
      </c>
      <c r="H93" s="77">
        <v>18</v>
      </c>
      <c r="I93" s="52" t="s">
        <v>257</v>
      </c>
      <c r="J93" s="58">
        <f t="shared" ref="J93:J95" si="13">F93*H93</f>
        <v>180</v>
      </c>
      <c r="K93" s="51" t="s">
        <v>57</v>
      </c>
      <c r="L93" s="58"/>
      <c r="M93" s="58"/>
    </row>
    <row r="94" spans="1:57" ht="13.8" thickBot="1" x14ac:dyDescent="0.3">
      <c r="B94" s="51"/>
      <c r="C94" s="51" t="s">
        <v>365</v>
      </c>
      <c r="D94" s="58"/>
      <c r="E94" s="51"/>
      <c r="F94" s="95">
        <v>1</v>
      </c>
      <c r="G94" s="53" t="s">
        <v>256</v>
      </c>
      <c r="H94" s="77">
        <v>47</v>
      </c>
      <c r="I94" s="52" t="s">
        <v>257</v>
      </c>
      <c r="J94" s="463">
        <f t="shared" ref="J94" si="14">F94*H94</f>
        <v>47</v>
      </c>
      <c r="K94" s="51" t="s">
        <v>57</v>
      </c>
      <c r="L94" s="58"/>
      <c r="M94" s="58"/>
    </row>
    <row r="95" spans="1:57" ht="13.8" thickBot="1" x14ac:dyDescent="0.3">
      <c r="B95" s="51"/>
      <c r="C95" s="51" t="s">
        <v>265</v>
      </c>
      <c r="D95" s="58"/>
      <c r="E95" s="51"/>
      <c r="F95" s="95"/>
      <c r="G95" s="53" t="s">
        <v>256</v>
      </c>
      <c r="H95" s="77"/>
      <c r="I95" s="52" t="s">
        <v>257</v>
      </c>
      <c r="J95" s="58">
        <f t="shared" si="13"/>
        <v>0</v>
      </c>
      <c r="K95" s="51" t="s">
        <v>57</v>
      </c>
      <c r="L95" s="58"/>
      <c r="M95" s="58"/>
    </row>
    <row r="96" spans="1:57" ht="13.8" thickBot="1" x14ac:dyDescent="0.3">
      <c r="B96" s="51"/>
      <c r="C96" s="51" t="s">
        <v>265</v>
      </c>
      <c r="D96" s="51"/>
      <c r="E96" s="51"/>
      <c r="F96" s="95"/>
      <c r="G96" s="53" t="s">
        <v>256</v>
      </c>
      <c r="H96" s="77"/>
      <c r="I96" s="52" t="s">
        <v>257</v>
      </c>
      <c r="J96" s="58">
        <f t="shared" si="12"/>
        <v>0</v>
      </c>
      <c r="K96" s="51" t="s">
        <v>57</v>
      </c>
      <c r="L96" s="58"/>
      <c r="M96" s="58"/>
    </row>
    <row r="97" spans="1:57" ht="13.8" thickBot="1" x14ac:dyDescent="0.3">
      <c r="B97" s="51"/>
      <c r="C97" s="51" t="s">
        <v>265</v>
      </c>
      <c r="D97" s="51"/>
      <c r="E97" s="51"/>
      <c r="F97" s="95"/>
      <c r="G97" s="53" t="s">
        <v>256</v>
      </c>
      <c r="H97" s="77"/>
      <c r="I97" s="52" t="s">
        <v>257</v>
      </c>
      <c r="J97" s="58">
        <f t="shared" si="12"/>
        <v>0</v>
      </c>
      <c r="K97" s="51" t="s">
        <v>57</v>
      </c>
      <c r="L97" s="58"/>
      <c r="M97" s="58"/>
    </row>
    <row r="98" spans="1:57" x14ac:dyDescent="0.25">
      <c r="B98" s="51"/>
      <c r="C98" s="51"/>
      <c r="D98" s="51"/>
      <c r="E98" s="51"/>
      <c r="F98" s="53"/>
      <c r="G98" s="53"/>
      <c r="H98" s="52"/>
      <c r="I98" s="52"/>
      <c r="J98" s="58"/>
      <c r="K98" s="51"/>
      <c r="L98" s="58"/>
      <c r="M98" s="58"/>
    </row>
    <row r="99" spans="1:57" ht="13.8" thickBot="1" x14ac:dyDescent="0.3">
      <c r="B99" s="171" t="s">
        <v>266</v>
      </c>
      <c r="C99" s="51"/>
      <c r="D99" s="51"/>
      <c r="E99" s="51"/>
      <c r="F99" s="53"/>
      <c r="G99" s="53"/>
      <c r="H99" s="52"/>
      <c r="I99" s="52"/>
      <c r="J99" s="58"/>
      <c r="K99" s="51"/>
      <c r="L99" s="58"/>
      <c r="M99" s="58"/>
    </row>
    <row r="100" spans="1:57" ht="13.8" thickBot="1" x14ac:dyDescent="0.3">
      <c r="B100" s="51"/>
      <c r="C100" s="51" t="s">
        <v>366</v>
      </c>
      <c r="D100" s="51"/>
      <c r="E100" s="51"/>
      <c r="F100" s="95">
        <v>5</v>
      </c>
      <c r="G100" s="53" t="s">
        <v>260</v>
      </c>
      <c r="H100" s="95">
        <v>13</v>
      </c>
      <c r="I100" s="52" t="s">
        <v>261</v>
      </c>
      <c r="J100" s="58">
        <f t="shared" ref="J100:J104" si="15">F100*H100</f>
        <v>65</v>
      </c>
      <c r="K100" s="51" t="s">
        <v>57</v>
      </c>
      <c r="L100" s="58"/>
      <c r="M100" s="58"/>
    </row>
    <row r="101" spans="1:57" ht="13.8" thickBot="1" x14ac:dyDescent="0.3">
      <c r="B101" s="51"/>
      <c r="C101" s="51" t="s">
        <v>267</v>
      </c>
      <c r="D101" s="51"/>
      <c r="E101" s="51"/>
      <c r="F101" s="95"/>
      <c r="G101" s="53" t="s">
        <v>256</v>
      </c>
      <c r="H101" s="95"/>
      <c r="I101" s="52" t="s">
        <v>257</v>
      </c>
      <c r="J101" s="58">
        <f t="shared" ref="J101:J103" si="16">F101*H101</f>
        <v>0</v>
      </c>
      <c r="K101" s="51" t="s">
        <v>57</v>
      </c>
      <c r="L101" s="58"/>
      <c r="M101" s="58"/>
    </row>
    <row r="102" spans="1:57" ht="13.8" thickBot="1" x14ac:dyDescent="0.3">
      <c r="B102" s="51"/>
      <c r="C102" s="51" t="s">
        <v>267</v>
      </c>
      <c r="D102" s="51"/>
      <c r="E102" s="51"/>
      <c r="F102" s="95"/>
      <c r="G102" s="53" t="s">
        <v>256</v>
      </c>
      <c r="H102" s="95"/>
      <c r="I102" s="52" t="s">
        <v>257</v>
      </c>
      <c r="J102" s="58">
        <f t="shared" si="16"/>
        <v>0</v>
      </c>
      <c r="K102" s="51" t="s">
        <v>57</v>
      </c>
      <c r="L102" s="58"/>
      <c r="M102" s="58"/>
    </row>
    <row r="103" spans="1:57" ht="13.8" thickBot="1" x14ac:dyDescent="0.3">
      <c r="B103" s="51"/>
      <c r="C103" s="51" t="s">
        <v>267</v>
      </c>
      <c r="D103" s="51"/>
      <c r="E103" s="51"/>
      <c r="F103" s="95"/>
      <c r="G103" s="53" t="s">
        <v>256</v>
      </c>
      <c r="H103" s="95"/>
      <c r="I103" s="52" t="s">
        <v>257</v>
      </c>
      <c r="J103" s="58">
        <f t="shared" si="16"/>
        <v>0</v>
      </c>
      <c r="K103" s="51" t="s">
        <v>57</v>
      </c>
      <c r="L103" s="58"/>
      <c r="M103" s="58"/>
    </row>
    <row r="104" spans="1:57" ht="13.8" thickBot="1" x14ac:dyDescent="0.3">
      <c r="B104" s="51"/>
      <c r="C104" s="51" t="s">
        <v>267</v>
      </c>
      <c r="D104" s="51"/>
      <c r="E104" s="51"/>
      <c r="F104" s="95"/>
      <c r="G104" s="53" t="s">
        <v>256</v>
      </c>
      <c r="H104" s="95"/>
      <c r="I104" s="52" t="s">
        <v>257</v>
      </c>
      <c r="J104" s="58">
        <f t="shared" si="15"/>
        <v>0</v>
      </c>
      <c r="K104" s="51" t="s">
        <v>57</v>
      </c>
      <c r="L104" s="58"/>
      <c r="M104" s="58"/>
    </row>
    <row r="105" spans="1:57" s="5" customFormat="1" x14ac:dyDescent="0.25">
      <c r="A105" s="452"/>
      <c r="B105" s="195"/>
      <c r="C105" s="195" t="s">
        <v>54</v>
      </c>
      <c r="D105" s="195"/>
      <c r="E105" s="195"/>
      <c r="F105" s="196"/>
      <c r="G105" s="196"/>
      <c r="H105" s="196"/>
      <c r="I105" s="197"/>
      <c r="J105" s="197">
        <f>SUM(J91:J104)</f>
        <v>481</v>
      </c>
      <c r="K105" s="195" t="s">
        <v>57</v>
      </c>
      <c r="L105" s="195"/>
      <c r="M105" s="195"/>
      <c r="AE105"/>
      <c r="AF105"/>
      <c r="AG105"/>
      <c r="AH105"/>
      <c r="AI105"/>
      <c r="AJ105"/>
      <c r="AK105"/>
      <c r="AL105"/>
      <c r="AM105"/>
      <c r="AN105"/>
      <c r="AO105"/>
      <c r="AP105"/>
      <c r="AQ105"/>
      <c r="AR105"/>
      <c r="AS105"/>
      <c r="AT105"/>
      <c r="AU105"/>
      <c r="AV105"/>
      <c r="AW105"/>
      <c r="AX105"/>
      <c r="AY105"/>
      <c r="AZ105"/>
      <c r="BA105"/>
      <c r="BB105"/>
      <c r="BC105"/>
      <c r="BD105"/>
      <c r="BE105"/>
    </row>
    <row r="106" spans="1:57" x14ac:dyDescent="0.25">
      <c r="B106" s="51"/>
      <c r="C106" s="51"/>
      <c r="D106" s="51"/>
      <c r="E106" s="51"/>
      <c r="F106" s="53"/>
      <c r="G106" s="53"/>
      <c r="H106" s="52"/>
      <c r="I106" s="52"/>
      <c r="J106" s="58"/>
      <c r="K106" s="51"/>
      <c r="L106" s="58"/>
      <c r="M106" s="58"/>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row>
    <row r="107" spans="1:57" x14ac:dyDescent="0.25">
      <c r="A107" s="457"/>
    </row>
    <row r="108" spans="1:57" ht="15.6" x14ac:dyDescent="0.3">
      <c r="A108" s="457"/>
      <c r="B108" s="86" t="s">
        <v>367</v>
      </c>
      <c r="C108" s="61"/>
      <c r="D108" s="61"/>
      <c r="E108" s="61"/>
      <c r="F108" s="1071" t="s">
        <v>114</v>
      </c>
      <c r="G108" s="1071"/>
      <c r="H108" s="1071" t="s">
        <v>113</v>
      </c>
      <c r="I108" s="1071"/>
      <c r="J108" s="1071" t="s">
        <v>243</v>
      </c>
      <c r="K108" s="1071"/>
      <c r="L108" s="63"/>
      <c r="M108" s="63"/>
    </row>
    <row r="109" spans="1:57" ht="13.8" thickBot="1" x14ac:dyDescent="0.3">
      <c r="A109" s="457"/>
      <c r="B109" s="61"/>
      <c r="C109" s="61"/>
      <c r="D109" s="61"/>
      <c r="E109" s="61"/>
      <c r="F109" s="61"/>
      <c r="G109" s="61"/>
      <c r="H109" s="62"/>
      <c r="I109" s="62"/>
      <c r="J109" s="63"/>
      <c r="K109" s="63"/>
      <c r="L109" s="63"/>
      <c r="M109" s="63"/>
    </row>
    <row r="110" spans="1:57" ht="13.8" thickBot="1" x14ac:dyDescent="0.3">
      <c r="A110" s="457"/>
      <c r="B110" s="61"/>
      <c r="C110" s="61" t="s">
        <v>368</v>
      </c>
      <c r="D110" s="63"/>
      <c r="E110" s="61"/>
      <c r="F110" s="388">
        <f>S10*'Gårdens info'!G12/1</f>
        <v>24000</v>
      </c>
      <c r="G110" s="61" t="s">
        <v>31</v>
      </c>
      <c r="H110" s="77">
        <v>0.01</v>
      </c>
      <c r="I110" s="62" t="s">
        <v>246</v>
      </c>
      <c r="J110" s="64">
        <f>F110*H110</f>
        <v>240</v>
      </c>
      <c r="K110" s="61" t="s">
        <v>57</v>
      </c>
      <c r="L110" s="63"/>
      <c r="M110" s="63"/>
    </row>
    <row r="111" spans="1:57" ht="13.8" thickBot="1" x14ac:dyDescent="0.3">
      <c r="A111" s="457"/>
      <c r="B111" s="61"/>
      <c r="C111" s="61" t="s">
        <v>369</v>
      </c>
      <c r="D111" s="63"/>
      <c r="E111" s="61"/>
      <c r="F111" s="388">
        <f>S11*'Gårdens info'!G12/0.25</f>
        <v>0</v>
      </c>
      <c r="G111" s="61" t="s">
        <v>31</v>
      </c>
      <c r="H111" s="77">
        <v>0.01</v>
      </c>
      <c r="I111" s="62" t="s">
        <v>246</v>
      </c>
      <c r="J111" s="64">
        <f t="shared" ref="J111:J117" si="17">F111*H111</f>
        <v>0</v>
      </c>
      <c r="K111" s="61" t="s">
        <v>57</v>
      </c>
      <c r="L111" s="63"/>
      <c r="M111" s="63"/>
    </row>
    <row r="112" spans="1:57" ht="13.8" thickBot="1" x14ac:dyDescent="0.3">
      <c r="A112" s="457"/>
      <c r="B112" s="61"/>
      <c r="C112" s="61" t="s">
        <v>370</v>
      </c>
      <c r="D112" s="63"/>
      <c r="E112" s="61"/>
      <c r="F112" s="388">
        <f>S12*'Gårdens info'!G12/0.5</f>
        <v>48000</v>
      </c>
      <c r="G112" s="61" t="s">
        <v>31</v>
      </c>
      <c r="H112" s="77">
        <v>0.01</v>
      </c>
      <c r="I112" s="62" t="s">
        <v>246</v>
      </c>
      <c r="J112" s="64">
        <f t="shared" si="17"/>
        <v>480</v>
      </c>
      <c r="K112" s="61" t="s">
        <v>57</v>
      </c>
      <c r="L112" s="63"/>
      <c r="M112" s="63"/>
    </row>
    <row r="113" spans="1:57" ht="13.8" thickBot="1" x14ac:dyDescent="0.3">
      <c r="A113" s="457"/>
      <c r="B113" s="61"/>
      <c r="C113" s="61" t="s">
        <v>371</v>
      </c>
      <c r="D113" s="63"/>
      <c r="E113" s="61"/>
      <c r="F113" s="388">
        <f>S13*'Gårdens info'!G12/10</f>
        <v>1200</v>
      </c>
      <c r="G113" s="61" t="s">
        <v>31</v>
      </c>
      <c r="H113" s="77">
        <v>0.05</v>
      </c>
      <c r="I113" s="62" t="s">
        <v>246</v>
      </c>
      <c r="J113" s="64">
        <f t="shared" si="17"/>
        <v>60</v>
      </c>
      <c r="K113" s="61" t="s">
        <v>57</v>
      </c>
      <c r="L113" s="63"/>
      <c r="M113" s="63"/>
    </row>
    <row r="114" spans="1:57" ht="13.8" thickBot="1" x14ac:dyDescent="0.3">
      <c r="A114" s="457"/>
      <c r="B114" s="61"/>
      <c r="C114" s="95" t="s">
        <v>272</v>
      </c>
      <c r="D114" s="95"/>
      <c r="E114" s="61" t="s">
        <v>212</v>
      </c>
      <c r="F114" s="388">
        <f>IF(S14&gt;0,(S14*'Gårdens info'!$G$12/D114),0)</f>
        <v>0</v>
      </c>
      <c r="G114" s="61" t="s">
        <v>31</v>
      </c>
      <c r="H114" s="77"/>
      <c r="I114" s="62" t="s">
        <v>246</v>
      </c>
      <c r="J114" s="64">
        <f t="shared" si="17"/>
        <v>0</v>
      </c>
      <c r="K114" s="61" t="s">
        <v>57</v>
      </c>
      <c r="L114" s="63"/>
      <c r="M114" s="63"/>
    </row>
    <row r="115" spans="1:57" ht="13.8" thickBot="1" x14ac:dyDescent="0.3">
      <c r="A115" s="457"/>
      <c r="B115" s="61"/>
      <c r="C115" s="95" t="s">
        <v>272</v>
      </c>
      <c r="D115" s="95"/>
      <c r="E115" s="61" t="s">
        <v>212</v>
      </c>
      <c r="F115" s="388">
        <f>IF(S15&gt;0,(S15*'Gårdens info'!$G$12/D115),0)</f>
        <v>0</v>
      </c>
      <c r="G115" s="61" t="s">
        <v>31</v>
      </c>
      <c r="H115" s="77"/>
      <c r="I115" s="62" t="s">
        <v>246</v>
      </c>
      <c r="J115" s="64">
        <f t="shared" ref="J115:J116" si="18">F115*H115</f>
        <v>0</v>
      </c>
      <c r="K115" s="61" t="s">
        <v>57</v>
      </c>
      <c r="L115" s="63"/>
      <c r="M115" s="63"/>
    </row>
    <row r="116" spans="1:57" ht="13.8" thickBot="1" x14ac:dyDescent="0.3">
      <c r="A116" s="457"/>
      <c r="B116" s="61"/>
      <c r="C116" s="95" t="s">
        <v>272</v>
      </c>
      <c r="D116" s="95"/>
      <c r="E116" s="61" t="s">
        <v>212</v>
      </c>
      <c r="F116" s="388">
        <f>IF(S16&gt;0,(S16*'Gårdens info'!$G$12/D116),0)</f>
        <v>0</v>
      </c>
      <c r="G116" s="61" t="s">
        <v>31</v>
      </c>
      <c r="H116" s="77"/>
      <c r="I116" s="62" t="s">
        <v>246</v>
      </c>
      <c r="J116" s="64">
        <f t="shared" si="18"/>
        <v>0</v>
      </c>
      <c r="K116" s="61" t="s">
        <v>57</v>
      </c>
      <c r="L116" s="63"/>
      <c r="M116" s="63"/>
    </row>
    <row r="117" spans="1:57" ht="13.8" thickBot="1" x14ac:dyDescent="0.3">
      <c r="A117" s="457"/>
      <c r="B117" s="61"/>
      <c r="C117" s="95" t="s">
        <v>272</v>
      </c>
      <c r="D117" s="95"/>
      <c r="E117" s="61" t="s">
        <v>212</v>
      </c>
      <c r="F117" s="388">
        <f>IF(S17&gt;0,(S17*'Gårdens info'!$G$12/D117),0)</f>
        <v>0</v>
      </c>
      <c r="G117" s="61" t="s">
        <v>31</v>
      </c>
      <c r="H117" s="77"/>
      <c r="I117" s="62" t="s">
        <v>246</v>
      </c>
      <c r="J117" s="64">
        <f t="shared" si="17"/>
        <v>0</v>
      </c>
      <c r="K117" s="61" t="s">
        <v>57</v>
      </c>
      <c r="L117" s="63"/>
      <c r="M117" s="63"/>
    </row>
    <row r="118" spans="1:57" x14ac:dyDescent="0.25">
      <c r="A118" s="457"/>
      <c r="B118" s="198"/>
      <c r="C118" s="198" t="s">
        <v>54</v>
      </c>
      <c r="D118" s="198"/>
      <c r="E118" s="198"/>
      <c r="F118" s="198"/>
      <c r="G118" s="198"/>
      <c r="H118" s="199"/>
      <c r="I118" s="199"/>
      <c r="J118" s="200">
        <f>SUM(J110:J117)</f>
        <v>780</v>
      </c>
      <c r="K118" s="198" t="s">
        <v>57</v>
      </c>
      <c r="L118" s="198"/>
      <c r="M118" s="198"/>
    </row>
    <row r="119" spans="1:57" x14ac:dyDescent="0.25">
      <c r="A119" s="457"/>
      <c r="B119" s="61"/>
      <c r="C119" s="61"/>
      <c r="D119" s="61"/>
      <c r="E119" s="61"/>
      <c r="F119" s="61"/>
      <c r="G119" s="61"/>
      <c r="H119" s="62"/>
      <c r="I119" s="62"/>
      <c r="J119" s="64"/>
      <c r="K119" s="61"/>
      <c r="L119" s="63"/>
      <c r="M119" s="63"/>
    </row>
    <row r="120" spans="1:57" x14ac:dyDescent="0.25">
      <c r="A120" s="457"/>
    </row>
    <row r="121" spans="1:57" s="5" customFormat="1" ht="15.6" x14ac:dyDescent="0.3">
      <c r="A121" s="458"/>
      <c r="B121" s="87" t="s">
        <v>273</v>
      </c>
      <c r="C121" s="65"/>
      <c r="D121" s="65"/>
      <c r="E121" s="65"/>
      <c r="F121" s="1072" t="s">
        <v>114</v>
      </c>
      <c r="G121" s="1072"/>
      <c r="H121" s="1072" t="s">
        <v>113</v>
      </c>
      <c r="I121" s="1072"/>
      <c r="J121" s="1072" t="s">
        <v>243</v>
      </c>
      <c r="K121" s="1072"/>
      <c r="L121" s="67"/>
      <c r="M121" s="67"/>
      <c r="N121"/>
      <c r="O121"/>
      <c r="P121"/>
      <c r="Q121"/>
      <c r="R121"/>
      <c r="S121"/>
      <c r="T121"/>
      <c r="U121"/>
      <c r="AE121"/>
      <c r="AF121"/>
      <c r="AG121"/>
      <c r="AH121"/>
      <c r="AI121"/>
      <c r="AJ121"/>
      <c r="AK121"/>
      <c r="AL121"/>
      <c r="AM121"/>
      <c r="AN121"/>
      <c r="AO121"/>
      <c r="AP121"/>
      <c r="AQ121"/>
      <c r="AR121"/>
      <c r="AS121"/>
      <c r="AT121"/>
      <c r="AU121"/>
      <c r="AV121"/>
      <c r="AW121"/>
      <c r="AX121"/>
      <c r="AY121"/>
      <c r="AZ121"/>
      <c r="BA121"/>
      <c r="BB121"/>
      <c r="BC121"/>
      <c r="BD121"/>
      <c r="BE121"/>
    </row>
    <row r="122" spans="1:57" ht="13.8" thickBot="1" x14ac:dyDescent="0.3">
      <c r="A122" s="457"/>
      <c r="B122" s="65"/>
      <c r="C122" s="65"/>
      <c r="D122" s="65"/>
      <c r="E122" s="65"/>
      <c r="F122" s="65"/>
      <c r="G122" s="65"/>
      <c r="H122" s="66"/>
      <c r="I122" s="66"/>
      <c r="J122" s="67"/>
      <c r="K122" s="67"/>
      <c r="L122" s="67"/>
      <c r="M122" s="67"/>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row>
    <row r="123" spans="1:57" ht="13.8" thickBot="1" x14ac:dyDescent="0.3">
      <c r="A123" s="457"/>
      <c r="B123" s="65"/>
      <c r="C123" s="65" t="s">
        <v>222</v>
      </c>
      <c r="D123" s="67"/>
      <c r="E123" s="65"/>
      <c r="F123" s="74">
        <f>'Gårdens info'!G12*'Gårdens info'!D12*0.9</f>
        <v>540000</v>
      </c>
      <c r="G123" s="65" t="s">
        <v>212</v>
      </c>
      <c r="H123" s="77">
        <v>0.02</v>
      </c>
      <c r="I123" s="66" t="s">
        <v>206</v>
      </c>
      <c r="J123" s="68">
        <f t="shared" ref="J123:J125" si="19">F123*H123</f>
        <v>10800</v>
      </c>
      <c r="K123" s="65" t="s">
        <v>57</v>
      </c>
      <c r="L123" s="67"/>
      <c r="M123" s="67"/>
      <c r="N123" s="5"/>
      <c r="O123" s="5"/>
      <c r="P123" s="5"/>
      <c r="Q123" s="5"/>
      <c r="R123" s="5"/>
      <c r="S123" s="5"/>
      <c r="T123" s="5"/>
      <c r="U123" s="5"/>
    </row>
    <row r="124" spans="1:57" ht="13.8" thickBot="1" x14ac:dyDescent="0.3">
      <c r="A124" s="457"/>
      <c r="B124" s="65"/>
      <c r="C124" s="65" t="s">
        <v>372</v>
      </c>
      <c r="D124" s="65"/>
      <c r="E124" s="65"/>
      <c r="F124" s="74"/>
      <c r="G124" s="65" t="s">
        <v>212</v>
      </c>
      <c r="H124" s="77"/>
      <c r="I124" s="66" t="s">
        <v>206</v>
      </c>
      <c r="J124" s="68">
        <f t="shared" si="19"/>
        <v>0</v>
      </c>
      <c r="K124" s="65" t="s">
        <v>57</v>
      </c>
      <c r="L124" s="67"/>
      <c r="M124" s="67"/>
    </row>
    <row r="125" spans="1:57" ht="13.8" thickBot="1" x14ac:dyDescent="0.3">
      <c r="A125" s="457"/>
      <c r="B125" s="65"/>
      <c r="C125" s="65" t="s">
        <v>372</v>
      </c>
      <c r="D125" s="65"/>
      <c r="E125" s="65"/>
      <c r="F125" s="74"/>
      <c r="G125" s="65" t="s">
        <v>212</v>
      </c>
      <c r="H125" s="77"/>
      <c r="I125" s="66" t="s">
        <v>206</v>
      </c>
      <c r="J125" s="68">
        <f t="shared" si="19"/>
        <v>0</v>
      </c>
      <c r="K125" s="65" t="s">
        <v>57</v>
      </c>
      <c r="L125" s="67"/>
      <c r="M125" s="67"/>
    </row>
    <row r="126" spans="1:57" x14ac:dyDescent="0.25">
      <c r="A126" s="457"/>
      <c r="B126" s="201"/>
      <c r="C126" s="201" t="s">
        <v>54</v>
      </c>
      <c r="D126" s="201"/>
      <c r="E126" s="201"/>
      <c r="F126" s="201"/>
      <c r="G126" s="201"/>
      <c r="H126" s="202"/>
      <c r="I126" s="202"/>
      <c r="J126" s="203">
        <f>SUM(J123:J125)</f>
        <v>10800</v>
      </c>
      <c r="K126" s="201" t="s">
        <v>57</v>
      </c>
      <c r="L126" s="201"/>
      <c r="M126" s="201"/>
    </row>
    <row r="127" spans="1:57" x14ac:dyDescent="0.25">
      <c r="A127" s="457"/>
      <c r="B127" s="65"/>
      <c r="C127" s="65"/>
      <c r="D127" s="65"/>
      <c r="E127" s="65"/>
      <c r="F127" s="65"/>
      <c r="G127" s="65"/>
      <c r="H127" s="66"/>
      <c r="I127" s="66"/>
      <c r="J127" s="68"/>
      <c r="K127" s="65"/>
      <c r="L127" s="67"/>
      <c r="M127" s="67"/>
    </row>
    <row r="128" spans="1:57" x14ac:dyDescent="0.25">
      <c r="A128" s="457"/>
    </row>
    <row r="129" spans="1:57" ht="15.6" x14ac:dyDescent="0.3">
      <c r="A129" s="457"/>
      <c r="B129" s="176" t="s">
        <v>275</v>
      </c>
      <c r="C129" s="177"/>
      <c r="D129" s="177"/>
      <c r="E129" s="177"/>
      <c r="F129" s="1067" t="s">
        <v>114</v>
      </c>
      <c r="G129" s="1067"/>
      <c r="H129" s="1067" t="s">
        <v>113</v>
      </c>
      <c r="I129" s="1067"/>
      <c r="J129" s="1067" t="s">
        <v>243</v>
      </c>
      <c r="K129" s="1067"/>
      <c r="L129" s="179"/>
      <c r="M129" s="179"/>
    </row>
    <row r="130" spans="1:57" ht="13.8" thickBot="1" x14ac:dyDescent="0.3">
      <c r="A130" s="457"/>
      <c r="B130" s="177"/>
      <c r="C130" s="177"/>
      <c r="D130" s="177"/>
      <c r="E130" s="177"/>
      <c r="F130" s="177"/>
      <c r="G130" s="177"/>
      <c r="H130" s="178"/>
      <c r="I130" s="178"/>
      <c r="J130" s="179"/>
      <c r="K130" s="179"/>
      <c r="L130" s="179"/>
      <c r="M130" s="179"/>
    </row>
    <row r="131" spans="1:57" ht="13.8" thickBot="1" x14ac:dyDescent="0.3">
      <c r="A131" s="457"/>
      <c r="B131" s="177"/>
      <c r="C131" s="177" t="s">
        <v>276</v>
      </c>
      <c r="D131" s="179"/>
      <c r="E131" s="177"/>
      <c r="F131" s="74"/>
      <c r="G131" s="177" t="s">
        <v>7</v>
      </c>
      <c r="H131" s="77"/>
      <c r="I131" s="178" t="s">
        <v>57</v>
      </c>
      <c r="J131" s="180">
        <f t="shared" ref="J131:J133" si="20">F131*H131</f>
        <v>0</v>
      </c>
      <c r="K131" s="177" t="s">
        <v>57</v>
      </c>
      <c r="L131" s="179"/>
      <c r="M131" s="179"/>
    </row>
    <row r="132" spans="1:57" ht="13.8" thickBot="1" x14ac:dyDescent="0.3">
      <c r="B132" s="177"/>
      <c r="C132" s="177" t="s">
        <v>276</v>
      </c>
      <c r="D132" s="177"/>
      <c r="E132" s="177"/>
      <c r="F132" s="74"/>
      <c r="G132" s="177" t="s">
        <v>7</v>
      </c>
      <c r="H132" s="77"/>
      <c r="I132" s="178" t="s">
        <v>57</v>
      </c>
      <c r="J132" s="180">
        <f t="shared" si="20"/>
        <v>0</v>
      </c>
      <c r="K132" s="177" t="s">
        <v>57</v>
      </c>
      <c r="L132" s="179"/>
      <c r="M132" s="179"/>
    </row>
    <row r="133" spans="1:57" ht="13.8" thickBot="1" x14ac:dyDescent="0.3">
      <c r="B133" s="177"/>
      <c r="C133" s="177" t="s">
        <v>276</v>
      </c>
      <c r="D133" s="177"/>
      <c r="E133" s="177"/>
      <c r="F133" s="74"/>
      <c r="G133" s="177" t="s">
        <v>7</v>
      </c>
      <c r="H133" s="77"/>
      <c r="I133" s="178" t="s">
        <v>57</v>
      </c>
      <c r="J133" s="180">
        <f t="shared" si="20"/>
        <v>0</v>
      </c>
      <c r="K133" s="177" t="s">
        <v>57</v>
      </c>
      <c r="L133" s="179"/>
      <c r="M133" s="179"/>
    </row>
    <row r="134" spans="1:57" s="5" customFormat="1" x14ac:dyDescent="0.25">
      <c r="A134" s="452"/>
      <c r="B134" s="204"/>
      <c r="C134" s="204" t="s">
        <v>54</v>
      </c>
      <c r="D134" s="204"/>
      <c r="E134" s="204"/>
      <c r="F134" s="204"/>
      <c r="G134" s="204"/>
      <c r="H134" s="205"/>
      <c r="I134" s="205"/>
      <c r="J134" s="206">
        <f>SUM(J131:J133)</f>
        <v>0</v>
      </c>
      <c r="K134" s="204" t="s">
        <v>57</v>
      </c>
      <c r="L134" s="204"/>
      <c r="M134" s="204"/>
      <c r="N134"/>
      <c r="O134"/>
      <c r="P134"/>
      <c r="Q134"/>
      <c r="R134"/>
      <c r="S134"/>
      <c r="T134"/>
      <c r="U134"/>
      <c r="AE134"/>
      <c r="AF134"/>
      <c r="AG134"/>
      <c r="AH134"/>
      <c r="AI134"/>
      <c r="AJ134"/>
      <c r="AK134"/>
      <c r="AL134"/>
      <c r="AM134"/>
      <c r="AN134"/>
      <c r="AO134"/>
      <c r="AP134"/>
      <c r="AQ134"/>
      <c r="AR134"/>
      <c r="AS134"/>
      <c r="AT134"/>
      <c r="AU134"/>
      <c r="AV134"/>
      <c r="AW134"/>
      <c r="AX134"/>
      <c r="AY134"/>
      <c r="AZ134"/>
      <c r="BA134"/>
      <c r="BB134"/>
      <c r="BC134"/>
      <c r="BD134"/>
      <c r="BE134"/>
    </row>
    <row r="135" spans="1:57" x14ac:dyDescent="0.25">
      <c r="B135" s="177"/>
      <c r="C135" s="177"/>
      <c r="D135" s="177"/>
      <c r="E135" s="177"/>
      <c r="F135" s="177"/>
      <c r="G135" s="177"/>
      <c r="H135" s="178"/>
      <c r="I135" s="178"/>
      <c r="J135" s="180"/>
      <c r="K135" s="177"/>
      <c r="L135" s="179"/>
      <c r="M135" s="179"/>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row>
    <row r="136" spans="1:57" ht="30" customHeight="1" x14ac:dyDescent="0.25">
      <c r="N136" s="5"/>
      <c r="O136" s="5"/>
      <c r="P136" s="5"/>
      <c r="Q136" s="5"/>
      <c r="R136" s="5"/>
      <c r="S136" s="5"/>
      <c r="T136" s="5"/>
      <c r="U136" s="5"/>
    </row>
    <row r="137" spans="1:57" ht="15.6" x14ac:dyDescent="0.3">
      <c r="B137" s="181" t="s">
        <v>277</v>
      </c>
      <c r="C137" s="182"/>
      <c r="D137" s="182"/>
      <c r="E137" s="183"/>
      <c r="F137" s="182" t="s">
        <v>114</v>
      </c>
      <c r="G137" s="184"/>
      <c r="H137" s="184" t="s">
        <v>113</v>
      </c>
      <c r="I137" s="182"/>
      <c r="J137" s="182"/>
      <c r="K137" s="185"/>
      <c r="L137" s="185"/>
      <c r="M137" s="185"/>
    </row>
    <row r="138" spans="1:57" ht="16.2" thickBot="1" x14ac:dyDescent="0.35">
      <c r="B138" s="181"/>
      <c r="C138" s="182"/>
      <c r="D138" s="182"/>
      <c r="E138" s="183"/>
      <c r="F138" s="182"/>
      <c r="G138" s="184"/>
      <c r="H138" s="184"/>
      <c r="I138" s="182"/>
      <c r="J138" s="182"/>
      <c r="K138" s="185"/>
      <c r="L138" s="185"/>
      <c r="M138" s="185"/>
    </row>
    <row r="139" spans="1:57" ht="13.8" thickBot="1" x14ac:dyDescent="0.3">
      <c r="B139" s="182"/>
      <c r="C139" s="182" t="s">
        <v>278</v>
      </c>
      <c r="D139" s="185"/>
      <c r="E139" s="186"/>
      <c r="F139" s="74">
        <v>2000</v>
      </c>
      <c r="G139" s="187" t="s">
        <v>279</v>
      </c>
      <c r="H139" s="74">
        <v>0.15</v>
      </c>
      <c r="I139" s="188" t="s">
        <v>280</v>
      </c>
      <c r="J139" s="185">
        <f>H139*F139</f>
        <v>300</v>
      </c>
      <c r="K139" s="188" t="s">
        <v>57</v>
      </c>
      <c r="L139" s="185"/>
      <c r="M139" s="185"/>
    </row>
    <row r="140" spans="1:57" ht="13.8" thickBot="1" x14ac:dyDescent="0.3">
      <c r="B140" s="182"/>
      <c r="C140" s="182" t="s">
        <v>281</v>
      </c>
      <c r="D140" s="188">
        <f>F173/2</f>
        <v>3</v>
      </c>
      <c r="E140" s="182" t="s">
        <v>282</v>
      </c>
      <c r="F140" s="74">
        <f>+D140*8</f>
        <v>24</v>
      </c>
      <c r="G140" s="184" t="s">
        <v>256</v>
      </c>
      <c r="H140" s="74">
        <v>0.83</v>
      </c>
      <c r="I140" s="188" t="s">
        <v>257</v>
      </c>
      <c r="J140" s="185">
        <f>H140*F140</f>
        <v>19.919999999999998</v>
      </c>
      <c r="K140" s="188" t="s">
        <v>57</v>
      </c>
      <c r="L140" s="185"/>
      <c r="M140" s="185"/>
    </row>
    <row r="141" spans="1:57" ht="13.8" thickBot="1" x14ac:dyDescent="0.3">
      <c r="B141" s="182"/>
      <c r="C141" s="182" t="s">
        <v>283</v>
      </c>
      <c r="D141" s="188">
        <f>D140</f>
        <v>3</v>
      </c>
      <c r="E141" s="182" t="s">
        <v>282</v>
      </c>
      <c r="F141" s="74">
        <v>11.88</v>
      </c>
      <c r="G141" s="184" t="s">
        <v>212</v>
      </c>
      <c r="H141" s="74">
        <v>4</v>
      </c>
      <c r="I141" s="188" t="s">
        <v>206</v>
      </c>
      <c r="J141" s="185">
        <f t="shared" ref="J141:J145" si="21">H141*F141</f>
        <v>47.52</v>
      </c>
      <c r="K141" s="188" t="s">
        <v>57</v>
      </c>
      <c r="L141" s="185"/>
      <c r="M141" s="185"/>
    </row>
    <row r="142" spans="1:57" ht="13.8" thickBot="1" x14ac:dyDescent="0.3">
      <c r="B142" s="182"/>
      <c r="C142" s="182" t="s">
        <v>284</v>
      </c>
      <c r="D142" s="185"/>
      <c r="E142" s="188"/>
      <c r="F142" s="74">
        <v>200</v>
      </c>
      <c r="G142" s="184" t="s">
        <v>256</v>
      </c>
      <c r="H142" s="74">
        <v>1.53</v>
      </c>
      <c r="I142" s="188" t="s">
        <v>257</v>
      </c>
      <c r="J142" s="185">
        <f t="shared" si="21"/>
        <v>306</v>
      </c>
      <c r="K142" s="188" t="s">
        <v>57</v>
      </c>
      <c r="L142" s="185"/>
      <c r="M142" s="185"/>
    </row>
    <row r="143" spans="1:57" ht="13.8" thickBot="1" x14ac:dyDescent="0.3">
      <c r="B143" s="182"/>
      <c r="C143" s="182" t="s">
        <v>285</v>
      </c>
      <c r="D143" s="185"/>
      <c r="E143" s="188"/>
      <c r="F143" s="74"/>
      <c r="G143" s="184" t="s">
        <v>256</v>
      </c>
      <c r="H143" s="74"/>
      <c r="I143" s="188" t="s">
        <v>257</v>
      </c>
      <c r="J143" s="185">
        <f t="shared" si="21"/>
        <v>0</v>
      </c>
      <c r="K143" s="188" t="s">
        <v>57</v>
      </c>
      <c r="L143" s="185"/>
      <c r="M143" s="185"/>
    </row>
    <row r="144" spans="1:57" ht="13.8" thickBot="1" x14ac:dyDescent="0.3">
      <c r="B144" s="182"/>
      <c r="C144" s="182" t="s">
        <v>286</v>
      </c>
      <c r="D144" s="185"/>
      <c r="E144" s="188"/>
      <c r="F144" s="74"/>
      <c r="G144" s="184"/>
      <c r="H144" s="74"/>
      <c r="I144" s="188"/>
      <c r="J144" s="185">
        <f t="shared" si="21"/>
        <v>0</v>
      </c>
      <c r="K144" s="188" t="s">
        <v>57</v>
      </c>
      <c r="L144" s="185"/>
      <c r="M144" s="185"/>
    </row>
    <row r="145" spans="1:57" ht="13.8" thickBot="1" x14ac:dyDescent="0.3">
      <c r="B145" s="185"/>
      <c r="C145" s="182" t="s">
        <v>286</v>
      </c>
      <c r="D145" s="185"/>
      <c r="E145" s="185"/>
      <c r="F145" s="74"/>
      <c r="G145" s="185"/>
      <c r="H145" s="74"/>
      <c r="I145" s="185"/>
      <c r="J145" s="185">
        <f t="shared" si="21"/>
        <v>0</v>
      </c>
      <c r="K145" s="188" t="s">
        <v>57</v>
      </c>
      <c r="L145" s="185"/>
      <c r="M145" s="185"/>
    </row>
    <row r="146" spans="1:57" s="5" customFormat="1" x14ac:dyDescent="0.25">
      <c r="A146" s="452"/>
      <c r="B146" s="207"/>
      <c r="C146" s="207" t="s">
        <v>54</v>
      </c>
      <c r="D146" s="207"/>
      <c r="E146" s="207"/>
      <c r="F146" s="207"/>
      <c r="G146" s="207"/>
      <c r="H146" s="207"/>
      <c r="I146" s="207"/>
      <c r="J146" s="207">
        <f>SUM(J139:J145)</f>
        <v>673.44</v>
      </c>
      <c r="K146" s="208" t="s">
        <v>57</v>
      </c>
      <c r="L146" s="207"/>
      <c r="M146" s="207"/>
      <c r="AE146"/>
      <c r="AF146"/>
      <c r="AG146"/>
      <c r="AH146"/>
      <c r="AI146"/>
      <c r="AJ146"/>
      <c r="AK146"/>
      <c r="AL146"/>
      <c r="AM146"/>
      <c r="AN146"/>
      <c r="AO146"/>
      <c r="AP146"/>
      <c r="AQ146"/>
      <c r="AR146"/>
      <c r="AS146"/>
      <c r="AT146"/>
      <c r="AU146"/>
      <c r="AV146"/>
      <c r="AW146"/>
      <c r="AX146"/>
      <c r="AY146"/>
      <c r="AZ146"/>
      <c r="BA146"/>
      <c r="BB146"/>
      <c r="BC146"/>
      <c r="BD146"/>
      <c r="BE146"/>
    </row>
    <row r="147" spans="1:57" x14ac:dyDescent="0.25">
      <c r="B147" s="185"/>
      <c r="C147" s="185"/>
      <c r="D147" s="185"/>
      <c r="E147" s="185"/>
      <c r="F147" s="185"/>
      <c r="G147" s="185"/>
      <c r="H147" s="185"/>
      <c r="I147" s="185"/>
      <c r="J147" s="185"/>
      <c r="K147" s="185"/>
      <c r="L147" s="185"/>
      <c r="M147" s="18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row>
    <row r="149" spans="1:57" ht="15.6" x14ac:dyDescent="0.3">
      <c r="B149" s="88" t="s">
        <v>287</v>
      </c>
      <c r="C149" s="79"/>
      <c r="D149" s="79"/>
      <c r="E149" s="79"/>
      <c r="F149" s="79"/>
      <c r="G149" s="79"/>
      <c r="H149" s="79"/>
      <c r="I149" s="79"/>
      <c r="J149" s="79"/>
      <c r="K149" s="79"/>
      <c r="L149" s="79"/>
      <c r="M149" s="79"/>
    </row>
    <row r="150" spans="1:57" ht="15.6" x14ac:dyDescent="0.3">
      <c r="B150" s="88"/>
      <c r="C150" s="79"/>
      <c r="D150" s="79"/>
      <c r="E150" s="79"/>
      <c r="F150" s="79"/>
      <c r="G150" s="79"/>
      <c r="H150" s="79"/>
      <c r="I150" s="79"/>
      <c r="J150" s="79"/>
      <c r="K150" s="79"/>
      <c r="L150" s="79"/>
      <c r="M150" s="79"/>
    </row>
    <row r="151" spans="1:57" ht="64.2" customHeight="1" x14ac:dyDescent="0.25">
      <c r="B151" s="1096" t="s">
        <v>373</v>
      </c>
      <c r="C151" s="1096"/>
      <c r="D151" s="1096"/>
      <c r="E151" s="1096"/>
      <c r="F151" s="1096"/>
      <c r="G151" s="1096"/>
      <c r="H151" s="1096"/>
      <c r="I151" s="1096"/>
      <c r="J151" s="1096"/>
      <c r="K151" s="1096"/>
      <c r="L151" s="1096"/>
      <c r="M151" s="1096"/>
    </row>
    <row r="152" spans="1:57" s="5" customFormat="1" ht="24" customHeight="1" thickBot="1" x14ac:dyDescent="0.35">
      <c r="A152" s="452"/>
      <c r="B152" s="841" t="s">
        <v>374</v>
      </c>
      <c r="C152" s="934"/>
      <c r="D152" s="934"/>
      <c r="E152" s="935"/>
      <c r="F152" s="83"/>
      <c r="G152" s="83"/>
      <c r="H152" s="84"/>
      <c r="I152" s="84"/>
      <c r="J152" s="83"/>
      <c r="K152" s="83"/>
      <c r="L152" s="84"/>
      <c r="M152" s="84"/>
      <c r="N152"/>
      <c r="O152"/>
      <c r="P152"/>
      <c r="Q152"/>
      <c r="R152"/>
      <c r="S152"/>
      <c r="T152"/>
      <c r="U152"/>
      <c r="AE152"/>
      <c r="AF152"/>
      <c r="AG152"/>
      <c r="AH152"/>
      <c r="AI152"/>
      <c r="AJ152"/>
      <c r="AK152"/>
      <c r="AL152"/>
      <c r="AM152"/>
      <c r="AN152"/>
      <c r="AO152"/>
      <c r="AP152"/>
      <c r="AQ152"/>
      <c r="AR152"/>
      <c r="AS152"/>
      <c r="AT152"/>
      <c r="AU152"/>
      <c r="AV152"/>
      <c r="AW152"/>
      <c r="AX152"/>
      <c r="AY152"/>
      <c r="AZ152"/>
      <c r="BA152"/>
      <c r="BB152"/>
      <c r="BC152"/>
      <c r="BD152"/>
      <c r="BE152"/>
    </row>
    <row r="153" spans="1:57" s="5" customFormat="1" ht="16.95" customHeight="1" x14ac:dyDescent="0.3">
      <c r="A153" s="452"/>
      <c r="B153" s="839"/>
      <c r="C153" s="839"/>
      <c r="D153" s="839"/>
      <c r="E153" s="840"/>
      <c r="F153" s="83"/>
      <c r="G153" s="83"/>
      <c r="H153" s="84"/>
      <c r="I153" s="84"/>
      <c r="J153" s="83"/>
      <c r="K153" s="83"/>
      <c r="L153" s="84"/>
      <c r="M153" s="84"/>
      <c r="N153"/>
      <c r="O153"/>
      <c r="P153"/>
      <c r="Q153"/>
      <c r="R153"/>
      <c r="S153"/>
      <c r="T153"/>
      <c r="U153"/>
    </row>
    <row r="154" spans="1:57" ht="15.6" x14ac:dyDescent="0.3">
      <c r="B154" s="88"/>
      <c r="C154" s="79"/>
      <c r="D154" s="79"/>
      <c r="E154" s="1069" t="s">
        <v>290</v>
      </c>
      <c r="F154" s="1069"/>
      <c r="G154" s="1069"/>
      <c r="H154" s="1070" t="s">
        <v>113</v>
      </c>
      <c r="I154" s="1070"/>
      <c r="J154" s="1069" t="s">
        <v>291</v>
      </c>
      <c r="K154" s="1069"/>
      <c r="L154" s="1070" t="s">
        <v>113</v>
      </c>
      <c r="M154" s="1070"/>
    </row>
    <row r="155" spans="1:57" ht="33" customHeight="1" thickBot="1" x14ac:dyDescent="0.3">
      <c r="B155" s="78"/>
      <c r="C155" s="79"/>
      <c r="D155" s="79"/>
      <c r="E155" s="79"/>
      <c r="F155" s="79"/>
      <c r="G155" s="79"/>
      <c r="H155" s="79"/>
      <c r="I155" s="79"/>
      <c r="J155" s="79"/>
      <c r="K155" s="79"/>
      <c r="L155" s="79"/>
      <c r="M155" s="79"/>
      <c r="N155" s="5"/>
      <c r="O155" s="5"/>
      <c r="P155" s="5"/>
      <c r="Q155" s="5"/>
      <c r="R155" s="5"/>
      <c r="S155" s="5"/>
      <c r="T155" s="5"/>
      <c r="U155" s="5"/>
    </row>
    <row r="156" spans="1:57" ht="13.8" thickBot="1" x14ac:dyDescent="0.3">
      <c r="B156" s="79"/>
      <c r="C156" s="80" t="str">
        <f t="shared" ref="C156:C171" si="22">AE6</f>
        <v>Odlingsplanering, dokumentation och kvalitetssystem</v>
      </c>
      <c r="D156" s="79"/>
      <c r="E156" s="79"/>
      <c r="F156" s="810">
        <f>BD6</f>
        <v>11</v>
      </c>
      <c r="G156" s="82" t="s">
        <v>293</v>
      </c>
      <c r="H156" s="93">
        <v>14.5</v>
      </c>
      <c r="I156" s="82" t="s">
        <v>294</v>
      </c>
      <c r="J156" s="81"/>
      <c r="K156" s="82" t="s">
        <v>293</v>
      </c>
      <c r="L156" s="93">
        <v>14.5</v>
      </c>
      <c r="M156" s="82" t="s">
        <v>294</v>
      </c>
    </row>
    <row r="157" spans="1:57" x14ac:dyDescent="0.25">
      <c r="B157" s="79"/>
      <c r="C157" s="80" t="str">
        <f t="shared" si="22"/>
        <v>Produktionsavtal</v>
      </c>
      <c r="D157" s="79"/>
      <c r="E157" s="79"/>
      <c r="F157" s="810">
        <f t="shared" ref="F157:F168" si="23">BD7</f>
        <v>2</v>
      </c>
      <c r="G157" s="82" t="s">
        <v>293</v>
      </c>
      <c r="H157" s="90">
        <f>H156</f>
        <v>14.5</v>
      </c>
      <c r="I157" s="82" t="s">
        <v>294</v>
      </c>
      <c r="J157" s="81"/>
      <c r="K157" s="82" t="s">
        <v>293</v>
      </c>
      <c r="L157" s="90">
        <f>L156</f>
        <v>14.5</v>
      </c>
      <c r="M157" s="82" t="s">
        <v>294</v>
      </c>
    </row>
    <row r="158" spans="1:57" x14ac:dyDescent="0.25">
      <c r="B158" s="79"/>
      <c r="C158" s="80" t="str">
        <f t="shared" si="22"/>
        <v>Jordbearbetning</v>
      </c>
      <c r="D158" s="79"/>
      <c r="E158" s="79"/>
      <c r="F158" s="810">
        <f t="shared" si="23"/>
        <v>4</v>
      </c>
      <c r="G158" s="82" t="s">
        <v>293</v>
      </c>
      <c r="H158" s="90">
        <f t="shared" ref="H158:H178" si="24">H157</f>
        <v>14.5</v>
      </c>
      <c r="I158" s="82" t="s">
        <v>294</v>
      </c>
      <c r="J158" s="81"/>
      <c r="K158" s="82" t="s">
        <v>293</v>
      </c>
      <c r="L158" s="90">
        <f t="shared" ref="L158:L178" si="25">L157</f>
        <v>14.5</v>
      </c>
      <c r="M158" s="82" t="s">
        <v>294</v>
      </c>
    </row>
    <row r="159" spans="1:57" x14ac:dyDescent="0.25">
      <c r="B159" s="79"/>
      <c r="C159" s="80" t="str">
        <f t="shared" si="22"/>
        <v>Bäddbearbetning och sådd</v>
      </c>
      <c r="D159" s="79"/>
      <c r="E159" s="79"/>
      <c r="F159" s="810">
        <f t="shared" si="23"/>
        <v>9</v>
      </c>
      <c r="G159" s="82" t="s">
        <v>293</v>
      </c>
      <c r="H159" s="90">
        <f t="shared" si="24"/>
        <v>14.5</v>
      </c>
      <c r="I159" s="82" t="s">
        <v>294</v>
      </c>
      <c r="J159" s="81"/>
      <c r="K159" s="82" t="s">
        <v>293</v>
      </c>
      <c r="L159" s="90">
        <f t="shared" si="25"/>
        <v>14.5</v>
      </c>
      <c r="M159" s="82" t="s">
        <v>294</v>
      </c>
    </row>
    <row r="160" spans="1:57" x14ac:dyDescent="0.25">
      <c r="B160" s="79"/>
      <c r="C160" s="80" t="str">
        <f t="shared" si="22"/>
        <v>Gödsel</v>
      </c>
      <c r="D160" s="79"/>
      <c r="E160" s="79"/>
      <c r="F160" s="810">
        <f t="shared" si="23"/>
        <v>6</v>
      </c>
      <c r="G160" s="82" t="s">
        <v>293</v>
      </c>
      <c r="H160" s="90">
        <f t="shared" si="24"/>
        <v>14.5</v>
      </c>
      <c r="I160" s="82" t="s">
        <v>294</v>
      </c>
      <c r="J160" s="81"/>
      <c r="K160" s="82" t="s">
        <v>293</v>
      </c>
      <c r="L160" s="90">
        <f t="shared" si="25"/>
        <v>14.5</v>
      </c>
      <c r="M160" s="82" t="s">
        <v>294</v>
      </c>
    </row>
    <row r="161" spans="1:57" x14ac:dyDescent="0.25">
      <c r="B161" s="79"/>
      <c r="C161" s="80" t="str">
        <f t="shared" si="22"/>
        <v>Installation av bevattningsutrustning</v>
      </c>
      <c r="D161" s="79"/>
      <c r="E161" s="79"/>
      <c r="F161" s="810">
        <f t="shared" si="23"/>
        <v>4</v>
      </c>
      <c r="G161" s="82" t="s">
        <v>293</v>
      </c>
      <c r="H161" s="90">
        <f t="shared" si="24"/>
        <v>14.5</v>
      </c>
      <c r="I161" s="82" t="s">
        <v>294</v>
      </c>
      <c r="J161" s="81"/>
      <c r="K161" s="82" t="s">
        <v>293</v>
      </c>
      <c r="L161" s="90">
        <f t="shared" si="25"/>
        <v>14.5</v>
      </c>
      <c r="M161" s="82" t="s">
        <v>294</v>
      </c>
    </row>
    <row r="162" spans="1:57" x14ac:dyDescent="0.25">
      <c r="B162" s="79"/>
      <c r="C162" s="80" t="str">
        <f t="shared" si="22"/>
        <v>Bevattning</v>
      </c>
      <c r="D162" s="79"/>
      <c r="E162" s="79"/>
      <c r="F162" s="810">
        <f t="shared" si="23"/>
        <v>18</v>
      </c>
      <c r="G162" s="82" t="s">
        <v>293</v>
      </c>
      <c r="H162" s="90">
        <f t="shared" si="24"/>
        <v>14.5</v>
      </c>
      <c r="I162" s="82" t="s">
        <v>294</v>
      </c>
      <c r="J162" s="81"/>
      <c r="K162" s="82" t="s">
        <v>293</v>
      </c>
      <c r="L162" s="90">
        <f t="shared" si="25"/>
        <v>14.5</v>
      </c>
      <c r="M162" s="82" t="s">
        <v>294</v>
      </c>
    </row>
    <row r="163" spans="1:57" s="5" customFormat="1" x14ac:dyDescent="0.25">
      <c r="A163" s="452"/>
      <c r="B163" s="79"/>
      <c r="C163" s="80" t="str">
        <f t="shared" si="22"/>
        <v>Höstunderhåll av bevattningsutrustning</v>
      </c>
      <c r="D163" s="79"/>
      <c r="E163" s="79"/>
      <c r="F163" s="810">
        <f t="shared" si="23"/>
        <v>4</v>
      </c>
      <c r="G163" s="82" t="s">
        <v>293</v>
      </c>
      <c r="H163" s="90">
        <f t="shared" si="24"/>
        <v>14.5</v>
      </c>
      <c r="I163" s="82" t="s">
        <v>294</v>
      </c>
      <c r="J163" s="81"/>
      <c r="K163" s="82" t="s">
        <v>293</v>
      </c>
      <c r="L163" s="90">
        <f t="shared" si="25"/>
        <v>14.5</v>
      </c>
      <c r="M163" s="82" t="s">
        <v>294</v>
      </c>
      <c r="N163"/>
      <c r="O163"/>
      <c r="P163"/>
      <c r="Q163"/>
      <c r="R163"/>
      <c r="S163"/>
      <c r="T163"/>
      <c r="U163"/>
      <c r="AE163"/>
      <c r="AF163"/>
      <c r="AG163"/>
      <c r="AH163"/>
      <c r="AI163"/>
      <c r="AJ163"/>
      <c r="AK163"/>
      <c r="AL163"/>
      <c r="AM163"/>
      <c r="AN163"/>
      <c r="AO163"/>
      <c r="AP163"/>
      <c r="AQ163"/>
      <c r="AR163"/>
      <c r="AS163"/>
      <c r="AT163"/>
      <c r="AU163"/>
      <c r="AV163"/>
      <c r="AW163"/>
      <c r="AX163"/>
      <c r="AY163"/>
      <c r="AZ163"/>
      <c r="BA163"/>
      <c r="BB163"/>
      <c r="BC163"/>
      <c r="BD163"/>
      <c r="BE163"/>
    </row>
    <row r="164" spans="1:57" x14ac:dyDescent="0.25">
      <c r="B164" s="79"/>
      <c r="C164" s="80" t="str">
        <f t="shared" si="22"/>
        <v>Växtskydd, ogräs</v>
      </c>
      <c r="D164" s="79"/>
      <c r="E164" s="79"/>
      <c r="F164" s="810">
        <f t="shared" si="23"/>
        <v>6</v>
      </c>
      <c r="G164" s="82" t="s">
        <v>293</v>
      </c>
      <c r="H164" s="90">
        <f t="shared" si="24"/>
        <v>14.5</v>
      </c>
      <c r="I164" s="82" t="s">
        <v>294</v>
      </c>
      <c r="J164" s="81"/>
      <c r="K164" s="82" t="s">
        <v>293</v>
      </c>
      <c r="L164" s="90">
        <f t="shared" si="25"/>
        <v>14.5</v>
      </c>
      <c r="M164" s="82" t="s">
        <v>294</v>
      </c>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row>
    <row r="165" spans="1:57" x14ac:dyDescent="0.25">
      <c r="B165" s="79"/>
      <c r="C165" s="80" t="str">
        <f t="shared" si="22"/>
        <v>Växtskydd, sjukdomar</v>
      </c>
      <c r="D165" s="79"/>
      <c r="E165" s="79"/>
      <c r="F165" s="810">
        <f t="shared" si="23"/>
        <v>2</v>
      </c>
      <c r="G165" s="82" t="s">
        <v>293</v>
      </c>
      <c r="H165" s="90">
        <f t="shared" si="24"/>
        <v>14.5</v>
      </c>
      <c r="I165" s="82" t="s">
        <v>294</v>
      </c>
      <c r="J165" s="81"/>
      <c r="K165" s="82" t="s">
        <v>293</v>
      </c>
      <c r="L165" s="90">
        <f t="shared" si="25"/>
        <v>14.5</v>
      </c>
      <c r="M165" s="82" t="s">
        <v>294</v>
      </c>
      <c r="N165" s="5"/>
      <c r="O165" s="5"/>
      <c r="P165" s="5"/>
      <c r="Q165" s="5"/>
      <c r="R165" s="5"/>
      <c r="S165" s="5"/>
      <c r="T165" s="5"/>
      <c r="U165" s="5"/>
    </row>
    <row r="166" spans="1:57" x14ac:dyDescent="0.25">
      <c r="B166" s="79"/>
      <c r="C166" s="80" t="str">
        <f t="shared" si="22"/>
        <v>Växtskydd, skadedjur</v>
      </c>
      <c r="D166" s="79"/>
      <c r="E166" s="79"/>
      <c r="F166" s="810">
        <f t="shared" si="23"/>
        <v>2</v>
      </c>
      <c r="G166" s="82" t="s">
        <v>293</v>
      </c>
      <c r="H166" s="90">
        <f t="shared" si="24"/>
        <v>14.5</v>
      </c>
      <c r="I166" s="82" t="s">
        <v>294</v>
      </c>
      <c r="J166" s="81"/>
      <c r="K166" s="82" t="s">
        <v>293</v>
      </c>
      <c r="L166" s="90">
        <f t="shared" si="25"/>
        <v>14.5</v>
      </c>
      <c r="M166" s="82" t="s">
        <v>294</v>
      </c>
    </row>
    <row r="167" spans="1:57" x14ac:dyDescent="0.25">
      <c r="B167" s="79"/>
      <c r="C167" s="80" t="str">
        <f t="shared" si="22"/>
        <v>Radrensning och kupning</v>
      </c>
      <c r="D167" s="79"/>
      <c r="E167" s="79"/>
      <c r="F167" s="810">
        <f t="shared" si="23"/>
        <v>4</v>
      </c>
      <c r="G167" s="82" t="s">
        <v>293</v>
      </c>
      <c r="H167" s="90">
        <f t="shared" si="24"/>
        <v>14.5</v>
      </c>
      <c r="I167" s="82" t="s">
        <v>294</v>
      </c>
      <c r="J167" s="81"/>
      <c r="K167" s="82" t="s">
        <v>293</v>
      </c>
      <c r="L167" s="90">
        <f t="shared" si="25"/>
        <v>14.5</v>
      </c>
      <c r="M167" s="82" t="s">
        <v>294</v>
      </c>
    </row>
    <row r="168" spans="1:57" x14ac:dyDescent="0.25">
      <c r="B168" s="79"/>
      <c r="C168" s="80" t="str">
        <f t="shared" si="22"/>
        <v>Rengöring av lager och andra utrymmen</v>
      </c>
      <c r="D168" s="79"/>
      <c r="E168" s="79"/>
      <c r="F168" s="810">
        <f t="shared" si="23"/>
        <v>9</v>
      </c>
      <c r="G168" s="82" t="s">
        <v>293</v>
      </c>
      <c r="H168" s="90">
        <f t="shared" si="24"/>
        <v>14.5</v>
      </c>
      <c r="I168" s="82" t="s">
        <v>294</v>
      </c>
      <c r="J168" s="81"/>
      <c r="K168" s="82" t="s">
        <v>293</v>
      </c>
      <c r="L168" s="90">
        <f t="shared" si="25"/>
        <v>14.5</v>
      </c>
      <c r="M168" s="82" t="s">
        <v>294</v>
      </c>
    </row>
    <row r="169" spans="1:57" x14ac:dyDescent="0.25">
      <c r="B169" s="79"/>
      <c r="C169" s="80" t="str">
        <f t="shared" si="22"/>
        <v>Skörd</v>
      </c>
      <c r="D169" s="79"/>
      <c r="E169" s="79"/>
      <c r="F169" s="810">
        <f>BD19/2</f>
        <v>17.5</v>
      </c>
      <c r="G169" s="82" t="s">
        <v>293</v>
      </c>
      <c r="H169" s="90">
        <f t="shared" si="24"/>
        <v>14.5</v>
      </c>
      <c r="I169" s="82" t="s">
        <v>294</v>
      </c>
      <c r="J169" s="81">
        <f>BD19/2</f>
        <v>17.5</v>
      </c>
      <c r="K169" s="82" t="s">
        <v>293</v>
      </c>
      <c r="L169" s="90">
        <f t="shared" si="25"/>
        <v>14.5</v>
      </c>
      <c r="M169" s="82" t="s">
        <v>294</v>
      </c>
    </row>
    <row r="170" spans="1:57" x14ac:dyDescent="0.25">
      <c r="B170" s="79"/>
      <c r="C170" s="80" t="str">
        <f t="shared" si="22"/>
        <v>Hantering och transport av skörd från fält till lager</v>
      </c>
      <c r="D170" s="79"/>
      <c r="E170" s="79"/>
      <c r="F170" s="810">
        <f>BD20/2</f>
        <v>7</v>
      </c>
      <c r="G170" s="82" t="s">
        <v>293</v>
      </c>
      <c r="H170" s="90">
        <f t="shared" si="24"/>
        <v>14.5</v>
      </c>
      <c r="I170" s="82" t="s">
        <v>294</v>
      </c>
      <c r="J170" s="81">
        <f>BD20/2</f>
        <v>7</v>
      </c>
      <c r="K170" s="82" t="s">
        <v>293</v>
      </c>
      <c r="L170" s="90">
        <f t="shared" si="25"/>
        <v>14.5</v>
      </c>
      <c r="M170" s="82" t="s">
        <v>294</v>
      </c>
    </row>
    <row r="171" spans="1:57" x14ac:dyDescent="0.25">
      <c r="B171" s="79"/>
      <c r="C171" s="80" t="str">
        <f t="shared" si="22"/>
        <v>Iordningställande och förpackning för försäljning</v>
      </c>
      <c r="D171" s="79"/>
      <c r="E171" s="79"/>
      <c r="F171" s="810">
        <f>BD21/2</f>
        <v>33</v>
      </c>
      <c r="G171" s="82" t="s">
        <v>293</v>
      </c>
      <c r="H171" s="90">
        <f t="shared" si="24"/>
        <v>14.5</v>
      </c>
      <c r="I171" s="82" t="s">
        <v>294</v>
      </c>
      <c r="J171" s="79">
        <f>BD21/2</f>
        <v>33</v>
      </c>
      <c r="K171" s="82" t="s">
        <v>293</v>
      </c>
      <c r="L171" s="90">
        <f t="shared" si="25"/>
        <v>14.5</v>
      </c>
      <c r="M171" s="82" t="s">
        <v>294</v>
      </c>
    </row>
    <row r="172" spans="1:57" x14ac:dyDescent="0.25">
      <c r="B172" s="79"/>
      <c r="C172" s="80" t="str">
        <f t="shared" ref="C172" si="26">AE22</f>
        <v>Utbildning, skatter, stöd, odling</v>
      </c>
      <c r="D172" s="81"/>
      <c r="E172" s="81"/>
      <c r="F172" s="810">
        <f t="shared" ref="F172:F178" si="27">BD22</f>
        <v>12</v>
      </c>
      <c r="G172" s="82" t="s">
        <v>293</v>
      </c>
      <c r="H172" s="90">
        <f t="shared" si="24"/>
        <v>14.5</v>
      </c>
      <c r="I172" s="82" t="s">
        <v>294</v>
      </c>
      <c r="J172" s="79"/>
      <c r="K172" s="82" t="s">
        <v>293</v>
      </c>
      <c r="L172" s="90">
        <f t="shared" si="25"/>
        <v>14.5</v>
      </c>
      <c r="M172" s="82" t="s">
        <v>294</v>
      </c>
    </row>
    <row r="173" spans="1:57" x14ac:dyDescent="0.25">
      <c r="B173" s="209"/>
      <c r="C173" s="80" t="s">
        <v>344</v>
      </c>
      <c r="D173" s="211"/>
      <c r="E173" s="211"/>
      <c r="F173" s="810">
        <f t="shared" si="27"/>
        <v>6</v>
      </c>
      <c r="G173" s="82" t="s">
        <v>293</v>
      </c>
      <c r="H173" s="90">
        <f t="shared" si="24"/>
        <v>14.5</v>
      </c>
      <c r="I173" s="82" t="s">
        <v>294</v>
      </c>
      <c r="J173" s="79"/>
      <c r="K173" s="82" t="s">
        <v>293</v>
      </c>
      <c r="L173" s="90">
        <f t="shared" si="25"/>
        <v>14.5</v>
      </c>
      <c r="M173" s="82" t="s">
        <v>294</v>
      </c>
    </row>
    <row r="174" spans="1:57" x14ac:dyDescent="0.25">
      <c r="B174" s="79"/>
      <c r="C174" s="80" t="s">
        <v>345</v>
      </c>
      <c r="D174" s="79"/>
      <c r="E174" s="79"/>
      <c r="F174" s="810">
        <f t="shared" si="27"/>
        <v>2</v>
      </c>
      <c r="G174" s="82" t="s">
        <v>293</v>
      </c>
      <c r="H174" s="90">
        <f t="shared" si="24"/>
        <v>14.5</v>
      </c>
      <c r="I174" s="82" t="s">
        <v>294</v>
      </c>
      <c r="J174" s="79"/>
      <c r="K174" s="82" t="s">
        <v>293</v>
      </c>
      <c r="L174" s="90">
        <f t="shared" si="25"/>
        <v>14.5</v>
      </c>
      <c r="M174" s="82" t="s">
        <v>294</v>
      </c>
    </row>
    <row r="175" spans="1:57" ht="15" customHeight="1" x14ac:dyDescent="0.25">
      <c r="B175" s="79"/>
      <c r="C175" s="80" t="s">
        <v>346</v>
      </c>
      <c r="D175" s="79"/>
      <c r="E175" s="79"/>
      <c r="F175" s="810">
        <f t="shared" si="27"/>
        <v>4</v>
      </c>
      <c r="G175" s="82" t="s">
        <v>293</v>
      </c>
      <c r="H175" s="90">
        <f t="shared" si="24"/>
        <v>14.5</v>
      </c>
      <c r="I175" s="82" t="s">
        <v>294</v>
      </c>
      <c r="J175" s="79"/>
      <c r="K175" s="82" t="s">
        <v>293</v>
      </c>
      <c r="L175" s="90">
        <f t="shared" si="25"/>
        <v>14.5</v>
      </c>
      <c r="M175" s="82" t="s">
        <v>294</v>
      </c>
      <c r="N175" s="5"/>
      <c r="O175" s="5"/>
      <c r="P175" s="5"/>
      <c r="Q175" s="5"/>
      <c r="R175" s="5"/>
      <c r="S175" s="5"/>
      <c r="T175" s="5"/>
      <c r="U175" s="5"/>
    </row>
    <row r="176" spans="1:57" x14ac:dyDescent="0.25">
      <c r="B176" s="79"/>
      <c r="C176" s="80" t="s">
        <v>348</v>
      </c>
      <c r="D176" s="79"/>
      <c r="E176" s="79"/>
      <c r="F176" s="810">
        <f t="shared" si="27"/>
        <v>12</v>
      </c>
      <c r="G176" s="82" t="s">
        <v>293</v>
      </c>
      <c r="H176" s="90">
        <f t="shared" si="24"/>
        <v>14.5</v>
      </c>
      <c r="I176" s="82" t="s">
        <v>294</v>
      </c>
      <c r="J176" s="79"/>
      <c r="K176" s="82" t="s">
        <v>293</v>
      </c>
      <c r="L176" s="90">
        <f t="shared" si="25"/>
        <v>14.5</v>
      </c>
      <c r="M176" s="82" t="s">
        <v>294</v>
      </c>
    </row>
    <row r="177" spans="1:57" x14ac:dyDescent="0.25">
      <c r="B177" s="79"/>
      <c r="C177" s="80" t="s">
        <v>350</v>
      </c>
      <c r="D177" s="79"/>
      <c r="E177" s="79"/>
      <c r="F177" s="810">
        <f t="shared" si="27"/>
        <v>30</v>
      </c>
      <c r="G177" s="82" t="s">
        <v>293</v>
      </c>
      <c r="H177" s="90">
        <f t="shared" si="24"/>
        <v>14.5</v>
      </c>
      <c r="I177" s="82" t="s">
        <v>294</v>
      </c>
      <c r="J177" s="79"/>
      <c r="K177" s="82" t="s">
        <v>293</v>
      </c>
      <c r="L177" s="90">
        <f t="shared" si="25"/>
        <v>14.5</v>
      </c>
      <c r="M177" s="82" t="s">
        <v>294</v>
      </c>
    </row>
    <row r="178" spans="1:57" ht="16.2" customHeight="1" x14ac:dyDescent="0.25">
      <c r="B178" s="79"/>
      <c r="C178" s="80" t="s">
        <v>351</v>
      </c>
      <c r="D178" s="79"/>
      <c r="E178" s="79"/>
      <c r="F178" s="810">
        <f t="shared" si="27"/>
        <v>10</v>
      </c>
      <c r="G178" s="82" t="s">
        <v>293</v>
      </c>
      <c r="H178" s="90">
        <f t="shared" si="24"/>
        <v>14.5</v>
      </c>
      <c r="I178" s="82" t="s">
        <v>294</v>
      </c>
      <c r="J178" s="79"/>
      <c r="K178" s="82" t="s">
        <v>293</v>
      </c>
      <c r="L178" s="90">
        <f t="shared" si="25"/>
        <v>14.5</v>
      </c>
      <c r="M178" s="82" t="s">
        <v>294</v>
      </c>
    </row>
    <row r="179" spans="1:57" x14ac:dyDescent="0.25">
      <c r="B179" s="79"/>
      <c r="C179" s="811" t="s">
        <v>54</v>
      </c>
      <c r="D179" s="812"/>
      <c r="E179" s="812"/>
      <c r="F179" s="813">
        <f>BD32</f>
        <v>272</v>
      </c>
      <c r="G179" s="812" t="s">
        <v>293</v>
      </c>
      <c r="H179" s="837">
        <f>F179*H156</f>
        <v>3944</v>
      </c>
      <c r="I179" s="812" t="s">
        <v>57</v>
      </c>
      <c r="J179" s="838">
        <f>SUM(J156:J178)</f>
        <v>57.5</v>
      </c>
      <c r="K179" s="812" t="s">
        <v>293</v>
      </c>
      <c r="L179" s="837">
        <f>J179*L156</f>
        <v>833.75</v>
      </c>
      <c r="M179" s="812" t="s">
        <v>57</v>
      </c>
    </row>
    <row r="180" spans="1:57" x14ac:dyDescent="0.25">
      <c r="B180" s="79"/>
      <c r="C180" s="80"/>
      <c r="D180" s="79"/>
      <c r="E180" s="79"/>
      <c r="F180" s="79"/>
      <c r="G180" s="79"/>
      <c r="H180" s="79"/>
      <c r="I180" s="79"/>
      <c r="J180" s="79"/>
      <c r="K180" s="79"/>
      <c r="L180" s="79"/>
      <c r="M180" s="79"/>
    </row>
    <row r="181" spans="1:57" x14ac:dyDescent="0.25">
      <c r="C181" s="809"/>
    </row>
    <row r="182" spans="1:57" x14ac:dyDescent="0.25">
      <c r="C182" s="809"/>
    </row>
    <row r="190" spans="1:57" s="5" customFormat="1" x14ac:dyDescent="0.25">
      <c r="A190" s="452"/>
      <c r="B190"/>
      <c r="C190"/>
      <c r="D190"/>
      <c r="E190"/>
      <c r="F190"/>
      <c r="G190"/>
      <c r="H190"/>
      <c r="I190"/>
      <c r="J190"/>
      <c r="K190"/>
      <c r="L190"/>
      <c r="M190"/>
      <c r="N190"/>
      <c r="O190"/>
      <c r="P190"/>
      <c r="Q190"/>
      <c r="R190"/>
      <c r="S190"/>
      <c r="T190"/>
      <c r="U190"/>
      <c r="AE190"/>
      <c r="AF190"/>
      <c r="AG190"/>
      <c r="AH190"/>
      <c r="AI190"/>
      <c r="AJ190"/>
      <c r="AK190"/>
      <c r="AL190"/>
      <c r="AM190"/>
      <c r="AN190"/>
      <c r="AO190"/>
      <c r="AP190"/>
      <c r="AQ190"/>
      <c r="AR190"/>
      <c r="AS190"/>
      <c r="AT190"/>
      <c r="AU190"/>
      <c r="AV190"/>
      <c r="AW190"/>
      <c r="AX190"/>
      <c r="AY190"/>
      <c r="AZ190"/>
      <c r="BA190"/>
      <c r="BB190"/>
      <c r="BC190"/>
      <c r="BD190"/>
      <c r="BE190"/>
    </row>
    <row r="191" spans="1:57" x14ac:dyDescent="0.2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row>
    <row r="192" spans="1:57" x14ac:dyDescent="0.25">
      <c r="N192" s="5"/>
      <c r="O192" s="5"/>
      <c r="P192" s="5"/>
      <c r="Q192" s="5"/>
      <c r="R192" s="5"/>
      <c r="S192" s="5"/>
      <c r="T192" s="5"/>
      <c r="U192" s="5"/>
    </row>
  </sheetData>
  <mergeCells count="56">
    <mergeCell ref="AZ5:BA5"/>
    <mergeCell ref="BB5:BC5"/>
    <mergeCell ref="AP5:AQ5"/>
    <mergeCell ref="AR5:AS5"/>
    <mergeCell ref="AT5:AU5"/>
    <mergeCell ref="AV5:AW5"/>
    <mergeCell ref="AX5:AY5"/>
    <mergeCell ref="AF5:AG5"/>
    <mergeCell ref="AH5:AI5"/>
    <mergeCell ref="AJ5:AK5"/>
    <mergeCell ref="AL5:AM5"/>
    <mergeCell ref="AN5:AO5"/>
    <mergeCell ref="F129:G129"/>
    <mergeCell ref="H129:I129"/>
    <mergeCell ref="J129:K129"/>
    <mergeCell ref="F108:G108"/>
    <mergeCell ref="H108:I108"/>
    <mergeCell ref="J108:K108"/>
    <mergeCell ref="F121:G121"/>
    <mergeCell ref="H121:I121"/>
    <mergeCell ref="J121:K121"/>
    <mergeCell ref="B151:M151"/>
    <mergeCell ref="E154:G154"/>
    <mergeCell ref="H154:I154"/>
    <mergeCell ref="J154:K154"/>
    <mergeCell ref="L154:M154"/>
    <mergeCell ref="B69:E69"/>
    <mergeCell ref="L69:M69"/>
    <mergeCell ref="F87:G87"/>
    <mergeCell ref="H87:I87"/>
    <mergeCell ref="J87:K87"/>
    <mergeCell ref="F71:G71"/>
    <mergeCell ref="H71:I71"/>
    <mergeCell ref="J71:K71"/>
    <mergeCell ref="F76:G76"/>
    <mergeCell ref="H76:I76"/>
    <mergeCell ref="J76:K76"/>
    <mergeCell ref="B57:D57"/>
    <mergeCell ref="B66:D66"/>
    <mergeCell ref="B38:D38"/>
    <mergeCell ref="C41:D41"/>
    <mergeCell ref="B45:D45"/>
    <mergeCell ref="C48:D48"/>
    <mergeCell ref="B52:C52"/>
    <mergeCell ref="C55:D55"/>
    <mergeCell ref="B64:D64"/>
    <mergeCell ref="C34:D34"/>
    <mergeCell ref="B2:C2"/>
    <mergeCell ref="O9:Q9"/>
    <mergeCell ref="T9:U9"/>
    <mergeCell ref="B11:D11"/>
    <mergeCell ref="O18:Q18"/>
    <mergeCell ref="B26:E26"/>
    <mergeCell ref="B27:E27"/>
    <mergeCell ref="B28:D28"/>
    <mergeCell ref="B31:C31"/>
  </mergeCells>
  <hyperlinks>
    <hyperlink ref="B2" location="Tilakokonaisuus!A1" display="PALAA ETUSIVULLE" xr:uid="{8F0D0D22-9856-FE4E-B504-FE76BF3D7A53}"/>
    <hyperlink ref="B2:C2" location="'Gårdens info'!A1" display="TILL FRMASIDAN" xr:uid="{E32054AB-A876-8F46-AA93-8B7CF012D098}"/>
    <hyperlink ref="B26:E26" location="'Gårdens info'!C97" display="ALMÄNNA KOSTNADER, morotens andel" xr:uid="{D018F827-3B6F-C547-8801-A6C409A150C9}"/>
    <hyperlink ref="B31:C31" location="Omaisuus!B15" display="RAKENNUKSET" xr:uid="{9BE5996F-DBA8-104B-A165-74E8A3D299F4}"/>
    <hyperlink ref="B38:D38" location="Omaisuus!B28" display="KONEET JA KALUSTO" xr:uid="{7529A5A3-EE4B-B64E-9ABD-25F2DBBC6BEC}"/>
    <hyperlink ref="B45:D45" location="Omaisuus!B51" display="PIDEMPIAIKAISET TUOTANTOVÄLINEET" xr:uid="{274934D6-6B55-BE43-B0F1-5953178F7CED}"/>
    <hyperlink ref="B52:C52" location="Omaisuus!B70" display="SALAOJAT" xr:uid="{43EEDB18-D2EA-2D40-BB51-8F7ADD0A9577}"/>
    <hyperlink ref="L69" location="'Avomaan mansikka'!B2" display="PALAA SIVUN YLÄLAITAAN" xr:uid="{35C8FFC3-2654-D344-8DCF-BAF37EFD71BC}"/>
    <hyperlink ref="L69:M69" location="Morot!A1" display="TILL SIDANS BÖRJAN" xr:uid="{D09237DB-E87E-004B-9E6E-0FDD2D982D30}"/>
    <hyperlink ref="B152:D152" location="Porkkana!AP2" display="Tästä pääset kuukausittaiseen työnkäyttötaulukkoon." xr:uid="{246D2986-081A-E643-B276-888D13F8ADA0}"/>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F492D-0DD7-CF4F-A49F-EF1289D582DF}">
  <sheetPr>
    <tabColor rgb="FF92D050"/>
  </sheetPr>
  <dimension ref="A1:BE197"/>
  <sheetViews>
    <sheetView topLeftCell="A5" zoomScale="57" zoomScaleNormal="93" workbookViewId="0">
      <selection activeCell="B5" sqref="B5"/>
    </sheetView>
  </sheetViews>
  <sheetFormatPr defaultColWidth="11.44140625" defaultRowHeight="13.2" x14ac:dyDescent="0.25"/>
  <cols>
    <col min="1" max="1" width="5.33203125" style="393" customWidth="1"/>
    <col min="2" max="2" width="13" customWidth="1"/>
    <col min="3" max="3" width="16.6640625" customWidth="1"/>
    <col min="4" max="4" width="24.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7.6640625" customWidth="1"/>
    <col min="16" max="16" width="4.44140625" customWidth="1"/>
    <col min="17" max="17" width="15" customWidth="1"/>
    <col min="18" max="18" width="5.109375" customWidth="1"/>
    <col min="19" max="19" width="18.33203125" bestFit="1" customWidth="1"/>
    <col min="31" max="31" width="56.44140625" customWidth="1"/>
    <col min="57" max="57" width="16.109375" customWidth="1"/>
  </cols>
  <sheetData>
    <row r="1" spans="1:57" s="393" customFormat="1" ht="22.8" x14ac:dyDescent="0.4">
      <c r="B1" s="475" t="s">
        <v>12</v>
      </c>
    </row>
    <row r="2" spans="1:57" ht="27" customHeight="1" x14ac:dyDescent="0.4">
      <c r="B2" s="1094" t="s">
        <v>201</v>
      </c>
      <c r="C2" s="1094"/>
      <c r="F2" s="69"/>
      <c r="G2" s="69"/>
      <c r="H2" s="69"/>
      <c r="AE2" s="804" t="s">
        <v>310</v>
      </c>
      <c r="AG2" s="804"/>
    </row>
    <row r="3" spans="1:57" ht="27" customHeight="1" x14ac:dyDescent="0.4">
      <c r="B3" s="189"/>
      <c r="C3" s="189"/>
      <c r="AE3" s="56" t="s">
        <v>311</v>
      </c>
      <c r="AF3" s="804"/>
      <c r="AG3" s="804"/>
    </row>
    <row r="4" spans="1:57" ht="36" customHeight="1" thickBot="1" x14ac:dyDescent="0.35">
      <c r="B4" s="1098" t="s">
        <v>375</v>
      </c>
      <c r="C4" s="1098"/>
      <c r="D4" s="1098"/>
      <c r="E4" s="1098"/>
      <c r="F4" s="1098"/>
      <c r="G4" s="1098"/>
      <c r="H4" s="1098"/>
      <c r="I4" s="1098"/>
      <c r="J4" s="1098"/>
      <c r="K4" s="1098"/>
      <c r="L4" s="1098"/>
    </row>
    <row r="5" spans="1:57" ht="27" customHeight="1" thickBot="1" x14ac:dyDescent="0.35">
      <c r="B5" s="189"/>
      <c r="C5" s="189"/>
      <c r="AE5" s="848"/>
      <c r="AF5" s="1100" t="s">
        <v>312</v>
      </c>
      <c r="AG5" s="1100"/>
      <c r="AH5" s="1100" t="s">
        <v>313</v>
      </c>
      <c r="AI5" s="1100"/>
      <c r="AJ5" s="1100" t="s">
        <v>314</v>
      </c>
      <c r="AK5" s="1100"/>
      <c r="AL5" s="1100" t="s">
        <v>315</v>
      </c>
      <c r="AM5" s="1100"/>
      <c r="AN5" s="1100" t="s">
        <v>316</v>
      </c>
      <c r="AO5" s="1100"/>
      <c r="AP5" s="1100" t="s">
        <v>317</v>
      </c>
      <c r="AQ5" s="1100"/>
      <c r="AR5" s="1100" t="s">
        <v>318</v>
      </c>
      <c r="AS5" s="1100"/>
      <c r="AT5" s="1100" t="s">
        <v>319</v>
      </c>
      <c r="AU5" s="1100"/>
      <c r="AV5" s="1100" t="s">
        <v>376</v>
      </c>
      <c r="AW5" s="1100"/>
      <c r="AX5" s="1100" t="s">
        <v>377</v>
      </c>
      <c r="AY5" s="1100"/>
      <c r="AZ5" s="1100" t="s">
        <v>322</v>
      </c>
      <c r="BA5" s="1100"/>
      <c r="BB5" s="1100" t="s">
        <v>323</v>
      </c>
      <c r="BC5" s="1100"/>
      <c r="BD5" s="821" t="s">
        <v>324</v>
      </c>
      <c r="BE5" s="805"/>
    </row>
    <row r="6" spans="1:57" ht="27" customHeight="1" x14ac:dyDescent="0.4">
      <c r="B6" s="256" t="s">
        <v>378</v>
      </c>
      <c r="C6" s="221"/>
      <c r="D6" s="222"/>
      <c r="E6" s="222"/>
      <c r="F6" s="222"/>
      <c r="G6" s="222"/>
      <c r="H6" s="222"/>
      <c r="I6" s="222"/>
      <c r="J6" s="222"/>
      <c r="K6" s="222"/>
      <c r="L6" s="222"/>
      <c r="M6" s="223"/>
      <c r="N6" s="368"/>
      <c r="O6" s="222"/>
      <c r="P6" s="222"/>
      <c r="Q6" s="222"/>
      <c r="R6" s="222"/>
      <c r="S6" s="222"/>
      <c r="T6" s="222"/>
      <c r="U6" s="223"/>
      <c r="AE6" s="291" t="s">
        <v>326</v>
      </c>
      <c r="AF6" s="826"/>
      <c r="AG6" s="826"/>
      <c r="AH6" s="827">
        <v>1</v>
      </c>
      <c r="AI6" s="827"/>
      <c r="AJ6" s="827">
        <v>1</v>
      </c>
      <c r="AK6" s="827"/>
      <c r="AL6" s="826">
        <v>1</v>
      </c>
      <c r="AM6" s="826"/>
      <c r="AN6" s="826">
        <v>1</v>
      </c>
      <c r="AO6" s="826"/>
      <c r="AP6" s="826">
        <v>1</v>
      </c>
      <c r="AQ6" s="826"/>
      <c r="AR6" s="826">
        <v>1</v>
      </c>
      <c r="AS6" s="826"/>
      <c r="AT6" s="826">
        <v>1</v>
      </c>
      <c r="AU6" s="826"/>
      <c r="AV6" s="826">
        <v>1</v>
      </c>
      <c r="AW6" s="826"/>
      <c r="AX6" s="826">
        <v>1</v>
      </c>
      <c r="AY6" s="826"/>
      <c r="AZ6" s="826">
        <v>1</v>
      </c>
      <c r="BA6" s="826"/>
      <c r="BB6" s="826">
        <v>1</v>
      </c>
      <c r="BC6" s="826"/>
      <c r="BD6" s="817">
        <f>SUM(AF6:BB6)</f>
        <v>11</v>
      </c>
      <c r="BE6" s="807" t="s">
        <v>327</v>
      </c>
    </row>
    <row r="7" spans="1:57" ht="27" customHeight="1" x14ac:dyDescent="0.4">
      <c r="B7" s="224"/>
      <c r="C7" s="225"/>
      <c r="D7" s="116"/>
      <c r="E7" s="116"/>
      <c r="F7" s="116"/>
      <c r="G7" s="116"/>
      <c r="H7" s="116"/>
      <c r="I7" s="116"/>
      <c r="J7" s="116"/>
      <c r="K7" s="116"/>
      <c r="L7" s="116"/>
      <c r="M7" s="226"/>
      <c r="N7" s="369"/>
      <c r="O7" s="116"/>
      <c r="P7" s="116"/>
      <c r="Q7" s="116"/>
      <c r="R7" s="116"/>
      <c r="S7" s="116"/>
      <c r="T7" s="116"/>
      <c r="U7" s="226"/>
      <c r="AB7" s="56"/>
      <c r="AE7" s="291" t="s">
        <v>328</v>
      </c>
      <c r="AF7" s="56"/>
      <c r="AG7" s="56"/>
      <c r="AH7" s="56"/>
      <c r="AI7" s="56"/>
      <c r="AJ7" s="56"/>
      <c r="AK7" s="56"/>
      <c r="AL7" s="56"/>
      <c r="AM7" s="56"/>
      <c r="AN7" s="56"/>
      <c r="AO7" s="56"/>
      <c r="AP7" s="56"/>
      <c r="AQ7" s="56"/>
      <c r="AR7" s="56"/>
      <c r="AS7" s="56"/>
      <c r="AT7" s="56"/>
      <c r="AU7" s="56"/>
      <c r="AV7" s="56"/>
      <c r="AW7" s="56"/>
      <c r="AX7" s="56"/>
      <c r="AY7" s="56"/>
      <c r="AZ7" s="56"/>
      <c r="BA7" s="56"/>
      <c r="BB7" s="56"/>
      <c r="BC7" s="56"/>
      <c r="BD7" s="817">
        <f t="shared" ref="BD7:BD28" si="0">SUM(AF7:BB7)</f>
        <v>0</v>
      </c>
      <c r="BE7" s="807"/>
    </row>
    <row r="8" spans="1:57" ht="21" x14ac:dyDescent="0.4">
      <c r="B8" s="257" t="s">
        <v>204</v>
      </c>
      <c r="C8" s="225"/>
      <c r="D8" s="116"/>
      <c r="E8" s="119"/>
      <c r="F8" s="119"/>
      <c r="G8" s="119"/>
      <c r="H8" s="119"/>
      <c r="I8" s="116"/>
      <c r="J8" s="116"/>
      <c r="K8" s="116"/>
      <c r="L8" s="116"/>
      <c r="M8" s="226"/>
      <c r="N8" s="257" t="s">
        <v>205</v>
      </c>
      <c r="O8" s="116"/>
      <c r="P8" s="116"/>
      <c r="Q8" s="116"/>
      <c r="R8" s="116"/>
      <c r="S8" s="116"/>
      <c r="T8" s="116"/>
      <c r="U8" s="239"/>
      <c r="AB8" s="56"/>
      <c r="AE8" s="291" t="s">
        <v>329</v>
      </c>
      <c r="AF8" s="56"/>
      <c r="AG8" s="56"/>
      <c r="AH8" s="56"/>
      <c r="AI8" s="56"/>
      <c r="AJ8" s="56"/>
      <c r="AK8" s="56"/>
      <c r="AL8" s="56"/>
      <c r="AM8" s="56"/>
      <c r="AN8" s="826">
        <v>3</v>
      </c>
      <c r="AO8" s="56"/>
      <c r="AP8" s="56"/>
      <c r="AQ8" s="56"/>
      <c r="AR8" s="56"/>
      <c r="AS8" s="56"/>
      <c r="AT8" s="56"/>
      <c r="AU8" s="56"/>
      <c r="AV8" s="56"/>
      <c r="AW8" s="56"/>
      <c r="AX8" s="56"/>
      <c r="AY8" s="56"/>
      <c r="AZ8" s="56"/>
      <c r="BA8" s="56"/>
      <c r="BB8" s="56"/>
      <c r="BC8" s="56"/>
      <c r="BD8" s="817">
        <f t="shared" si="0"/>
        <v>3</v>
      </c>
      <c r="BE8" s="807"/>
    </row>
    <row r="9" spans="1:57" ht="21" x14ac:dyDescent="0.4">
      <c r="B9" s="257"/>
      <c r="C9" s="225"/>
      <c r="D9" s="116"/>
      <c r="E9" s="119"/>
      <c r="F9" s="119"/>
      <c r="G9" s="119"/>
      <c r="H9" s="119"/>
      <c r="I9" s="116"/>
      <c r="J9" s="116"/>
      <c r="K9" s="116"/>
      <c r="L9" s="116"/>
      <c r="M9" s="226"/>
      <c r="N9" s="257"/>
      <c r="O9" s="116"/>
      <c r="P9" s="116"/>
      <c r="Q9" s="116"/>
      <c r="R9" s="116"/>
      <c r="S9" s="116"/>
      <c r="T9" s="116"/>
      <c r="U9" s="239"/>
      <c r="AB9" s="56"/>
      <c r="AE9" s="291" t="s">
        <v>379</v>
      </c>
      <c r="AF9" s="56"/>
      <c r="AG9" s="56"/>
      <c r="AH9" s="56"/>
      <c r="AI9" s="56"/>
      <c r="AJ9" s="56"/>
      <c r="AK9" s="56"/>
      <c r="AL9" s="56"/>
      <c r="AM9" s="56"/>
      <c r="AN9" s="826">
        <v>1</v>
      </c>
      <c r="AO9" s="56"/>
      <c r="AP9" s="56"/>
      <c r="AQ9" s="56"/>
      <c r="AR9" s="56"/>
      <c r="AS9" s="56"/>
      <c r="AT9" s="56"/>
      <c r="AU9" s="56"/>
      <c r="AV9" s="56"/>
      <c r="AW9" s="56"/>
      <c r="AX9" s="56"/>
      <c r="AY9" s="56"/>
      <c r="AZ9" s="56"/>
      <c r="BA9" s="56"/>
      <c r="BB9" s="56"/>
      <c r="BC9" s="56"/>
      <c r="BD9" s="817">
        <f t="shared" si="0"/>
        <v>1</v>
      </c>
      <c r="BE9" s="807"/>
    </row>
    <row r="10" spans="1:57" ht="21" customHeight="1" thickBot="1" x14ac:dyDescent="0.35">
      <c r="B10" s="227"/>
      <c r="C10" s="228" t="s">
        <v>205</v>
      </c>
      <c r="D10" s="119"/>
      <c r="E10" s="119"/>
      <c r="F10" s="229">
        <f>IF('Gårdens info'!D13&gt;0,H10*'Gårdens info'!G13,0)</f>
        <v>37000</v>
      </c>
      <c r="G10" s="119" t="s">
        <v>57</v>
      </c>
      <c r="H10" s="508">
        <f>IF('Gårdens info'!G13&gt;0,(('Gårdens info'!D13*'Gårdens info'!G13*S11*T11)+('Gårdens info'!D13*'Gårdens info'!G13*S12*T12)+('Gårdens info'!D13*'Gårdens info'!G13*S13*T13)+('Gårdens info'!D13*'Gårdens info'!G13*S14*T14)+('Gårdens info'!D13*'Gårdens info'!G13*S15*T15)+('Gårdens info'!D13*'Gårdens info'!G13*S16*T16)+('Gårdens info'!D13*'Gårdens info'!G13*S17*T17)+('Gårdens info'!D13*'Gårdens info'!G13*S18*T18))/(('Gårdens info'!D13*'Gårdens info'!G13)),0)</f>
        <v>0.74</v>
      </c>
      <c r="I10" s="119" t="s">
        <v>206</v>
      </c>
      <c r="J10" s="229">
        <f>F10*'Gårdens info'!D13</f>
        <v>370000</v>
      </c>
      <c r="K10" s="119" t="s">
        <v>380</v>
      </c>
      <c r="L10" s="119"/>
      <c r="M10" s="226"/>
      <c r="N10" s="369"/>
      <c r="O10" s="1095" t="s">
        <v>208</v>
      </c>
      <c r="P10" s="1095"/>
      <c r="Q10" s="1095"/>
      <c r="R10" s="230"/>
      <c r="S10" s="926" t="s">
        <v>209</v>
      </c>
      <c r="T10" s="1086" t="s">
        <v>210</v>
      </c>
      <c r="U10" s="1087"/>
      <c r="AB10" s="56"/>
      <c r="AE10" s="291" t="s">
        <v>381</v>
      </c>
      <c r="AF10" s="56"/>
      <c r="AG10" s="56"/>
      <c r="AH10" s="56"/>
      <c r="AI10" s="56"/>
      <c r="AJ10" s="56"/>
      <c r="AK10" s="56"/>
      <c r="AL10" s="56"/>
      <c r="AM10" s="56"/>
      <c r="AN10" s="56"/>
      <c r="AO10" s="828">
        <v>10</v>
      </c>
      <c r="AP10" s="827"/>
      <c r="AQ10" s="56"/>
      <c r="AR10" s="56"/>
      <c r="AS10" s="56"/>
      <c r="AT10" s="56"/>
      <c r="AU10" s="56"/>
      <c r="AV10" s="56"/>
      <c r="AW10" s="56"/>
      <c r="AX10" s="56"/>
      <c r="AY10" s="56"/>
      <c r="AZ10" s="56"/>
      <c r="BA10" s="56"/>
      <c r="BB10" s="56"/>
      <c r="BC10" s="56"/>
      <c r="BD10" s="817">
        <f t="shared" si="0"/>
        <v>10</v>
      </c>
      <c r="BE10" s="807"/>
    </row>
    <row r="11" spans="1:57" ht="18" thickBot="1" x14ac:dyDescent="0.35">
      <c r="B11" s="227"/>
      <c r="C11" s="119" t="s">
        <v>211</v>
      </c>
      <c r="D11" s="119"/>
      <c r="E11" s="119"/>
      <c r="F11" s="229">
        <f>IF('Gårdens info'!D13&gt;0,Stöd!L15,0)</f>
        <v>1027.0999999999999</v>
      </c>
      <c r="G11" s="119" t="s">
        <v>57</v>
      </c>
      <c r="H11" s="508">
        <f>IF('Gårdens info'!G13&gt;0,F11/'Gårdens info'!G13,0)</f>
        <v>2.0541999999999998E-2</v>
      </c>
      <c r="I11" s="119" t="s">
        <v>206</v>
      </c>
      <c r="J11" s="229">
        <f>F11*'Gårdens info'!D13</f>
        <v>10271</v>
      </c>
      <c r="K11" s="119" t="s">
        <v>380</v>
      </c>
      <c r="L11" s="119"/>
      <c r="M11" s="226"/>
      <c r="N11" s="369"/>
      <c r="O11" s="119">
        <v>1</v>
      </c>
      <c r="P11" s="119" t="s">
        <v>212</v>
      </c>
      <c r="Q11" s="119" t="s">
        <v>213</v>
      </c>
      <c r="R11" s="119"/>
      <c r="S11" s="377">
        <v>0</v>
      </c>
      <c r="T11" s="255"/>
      <c r="U11" s="239" t="s">
        <v>206</v>
      </c>
      <c r="AB11" s="56"/>
      <c r="AE11" s="291" t="s">
        <v>332</v>
      </c>
      <c r="AF11" s="56"/>
      <c r="AG11" s="56"/>
      <c r="AH11" s="56"/>
      <c r="AI11" s="56"/>
      <c r="AJ11" s="56"/>
      <c r="AK11" s="56"/>
      <c r="AL11" s="56"/>
      <c r="AM11" s="56"/>
      <c r="AN11" s="826">
        <v>2</v>
      </c>
      <c r="AO11" s="56"/>
      <c r="AP11" s="56"/>
      <c r="AQ11" s="826">
        <v>2</v>
      </c>
      <c r="AR11" s="826">
        <v>2</v>
      </c>
      <c r="AS11" s="56"/>
      <c r="AT11" s="56"/>
      <c r="AU11" s="56"/>
      <c r="AV11" s="56"/>
      <c r="AW11" s="56"/>
      <c r="AX11" s="56"/>
      <c r="AY11" s="56"/>
      <c r="AZ11" s="56"/>
      <c r="BA11" s="56"/>
      <c r="BB11" s="56"/>
      <c r="BC11" s="56"/>
      <c r="BD11" s="817">
        <f t="shared" si="0"/>
        <v>6</v>
      </c>
      <c r="BE11" s="807"/>
    </row>
    <row r="12" spans="1:57" s="5" customFormat="1" ht="21.6" thickBot="1" x14ac:dyDescent="0.45">
      <c r="A12" s="468"/>
      <c r="B12" s="1061" t="s">
        <v>214</v>
      </c>
      <c r="C12" s="1043"/>
      <c r="D12" s="1043"/>
      <c r="E12" s="262"/>
      <c r="F12" s="266">
        <f>F10+F11</f>
        <v>38027.1</v>
      </c>
      <c r="G12" s="267" t="s">
        <v>57</v>
      </c>
      <c r="H12" s="507">
        <f>H10+H11</f>
        <v>0.76054199999999994</v>
      </c>
      <c r="I12" s="267" t="s">
        <v>206</v>
      </c>
      <c r="J12" s="269">
        <f>J10+J11</f>
        <v>380271</v>
      </c>
      <c r="K12" s="267" t="s">
        <v>380</v>
      </c>
      <c r="L12" s="267"/>
      <c r="M12" s="259"/>
      <c r="N12" s="370"/>
      <c r="O12" s="119">
        <v>0.25</v>
      </c>
      <c r="P12" s="119" t="s">
        <v>212</v>
      </c>
      <c r="Q12" s="119" t="s">
        <v>333</v>
      </c>
      <c r="R12" s="119"/>
      <c r="S12" s="379">
        <v>0</v>
      </c>
      <c r="T12" s="255"/>
      <c r="U12" s="239" t="s">
        <v>206</v>
      </c>
      <c r="AB12" s="56"/>
      <c r="AE12" s="291" t="s">
        <v>334</v>
      </c>
      <c r="AF12" s="56"/>
      <c r="AG12" s="56"/>
      <c r="AH12" s="56"/>
      <c r="AI12" s="56"/>
      <c r="AJ12" s="56"/>
      <c r="AK12" s="56"/>
      <c r="AL12" s="56"/>
      <c r="AM12" s="56"/>
      <c r="AN12" s="826">
        <v>4</v>
      </c>
      <c r="AO12" s="56"/>
      <c r="AP12" s="56"/>
      <c r="AQ12" s="120"/>
      <c r="AR12" s="120"/>
      <c r="AS12" s="56"/>
      <c r="AT12" s="56"/>
      <c r="AU12" s="56"/>
      <c r="AV12" s="56"/>
      <c r="AW12" s="56"/>
      <c r="AX12" s="56"/>
      <c r="AY12" s="56"/>
      <c r="AZ12" s="56"/>
      <c r="BA12" s="56"/>
      <c r="BB12" s="56"/>
      <c r="BC12" s="56"/>
      <c r="BD12" s="817">
        <f t="shared" si="0"/>
        <v>4</v>
      </c>
      <c r="BE12" s="807"/>
    </row>
    <row r="13" spans="1:57" s="5" customFormat="1" ht="21.6" thickBot="1" x14ac:dyDescent="0.45">
      <c r="A13" s="468"/>
      <c r="B13" s="288"/>
      <c r="C13" s="270"/>
      <c r="D13" s="270"/>
      <c r="E13" s="262"/>
      <c r="F13" s="266"/>
      <c r="G13" s="267"/>
      <c r="H13" s="268"/>
      <c r="I13" s="267"/>
      <c r="J13" s="269"/>
      <c r="K13" s="267"/>
      <c r="L13" s="267"/>
      <c r="M13" s="259"/>
      <c r="N13" s="370"/>
      <c r="O13" s="119">
        <v>0.5</v>
      </c>
      <c r="P13" s="119" t="s">
        <v>212</v>
      </c>
      <c r="Q13" s="119" t="s">
        <v>213</v>
      </c>
      <c r="R13" s="119"/>
      <c r="S13" s="379">
        <v>0</v>
      </c>
      <c r="T13" s="255"/>
      <c r="U13" s="239" t="s">
        <v>206</v>
      </c>
      <c r="AB13" s="56"/>
      <c r="AE13" s="291" t="s">
        <v>335</v>
      </c>
      <c r="AF13" s="818"/>
      <c r="AG13" s="818"/>
      <c r="AH13" s="818"/>
      <c r="AI13" s="818"/>
      <c r="AJ13" s="818"/>
      <c r="AK13" s="818"/>
      <c r="AL13" s="818"/>
      <c r="AM13" s="818"/>
      <c r="AN13" s="826">
        <v>3</v>
      </c>
      <c r="AO13" s="826">
        <v>3</v>
      </c>
      <c r="AP13" s="826">
        <v>3</v>
      </c>
      <c r="AQ13" s="826">
        <v>3</v>
      </c>
      <c r="AR13" s="826">
        <v>3</v>
      </c>
      <c r="AS13" s="826">
        <v>3</v>
      </c>
      <c r="AT13" s="818"/>
      <c r="AU13" s="818"/>
      <c r="AV13" s="818"/>
      <c r="AW13" s="818"/>
      <c r="AX13" s="818"/>
      <c r="AY13" s="818"/>
      <c r="AZ13" s="818"/>
      <c r="BA13" s="818"/>
      <c r="BB13" s="818"/>
      <c r="BC13" s="818"/>
      <c r="BD13" s="817">
        <f t="shared" si="0"/>
        <v>18</v>
      </c>
      <c r="BE13" s="808"/>
    </row>
    <row r="14" spans="1:57" ht="22.2" customHeight="1" thickBot="1" x14ac:dyDescent="0.4">
      <c r="B14" s="231"/>
      <c r="C14" s="225"/>
      <c r="D14" s="116"/>
      <c r="E14" s="116"/>
      <c r="F14" s="116"/>
      <c r="G14" s="116"/>
      <c r="H14" s="116"/>
      <c r="I14" s="116"/>
      <c r="J14" s="232"/>
      <c r="K14" s="116"/>
      <c r="L14" s="116"/>
      <c r="M14" s="226"/>
      <c r="N14" s="369"/>
      <c r="O14" s="119">
        <v>10</v>
      </c>
      <c r="P14" s="119" t="s">
        <v>212</v>
      </c>
      <c r="Q14" s="119" t="s">
        <v>215</v>
      </c>
      <c r="R14" s="119"/>
      <c r="S14" s="379">
        <v>0.5</v>
      </c>
      <c r="T14" s="255">
        <v>0.76</v>
      </c>
      <c r="U14" s="239" t="s">
        <v>206</v>
      </c>
      <c r="AB14" s="933"/>
      <c r="AE14" s="931" t="s">
        <v>336</v>
      </c>
      <c r="AF14" s="818"/>
      <c r="AG14" s="818"/>
      <c r="AH14" s="818"/>
      <c r="AI14" s="818"/>
      <c r="AJ14" s="818"/>
      <c r="AK14" s="818"/>
      <c r="AL14" s="818"/>
      <c r="AM14" s="818"/>
      <c r="AN14" s="818"/>
      <c r="AO14" s="818"/>
      <c r="AP14" s="818"/>
      <c r="AQ14" s="818"/>
      <c r="AR14" s="818"/>
      <c r="AS14" s="818"/>
      <c r="AT14" s="826">
        <v>4</v>
      </c>
      <c r="AU14" s="818"/>
      <c r="AV14" s="818"/>
      <c r="AW14" s="818"/>
      <c r="AX14" s="818"/>
      <c r="AY14" s="818"/>
      <c r="AZ14" s="818"/>
      <c r="BA14" s="818"/>
      <c r="BB14" s="818"/>
      <c r="BC14" s="818"/>
      <c r="BD14" s="817">
        <f t="shared" si="0"/>
        <v>4</v>
      </c>
      <c r="BE14" s="808"/>
    </row>
    <row r="15" spans="1:57" ht="21.6" thickBot="1" x14ac:dyDescent="0.45">
      <c r="B15" s="257" t="s">
        <v>186</v>
      </c>
      <c r="C15" s="225"/>
      <c r="D15" s="116"/>
      <c r="E15" s="116"/>
      <c r="F15" s="116"/>
      <c r="G15" s="116"/>
      <c r="H15" s="116"/>
      <c r="I15" s="116"/>
      <c r="J15" s="232"/>
      <c r="K15" s="116"/>
      <c r="L15" s="116"/>
      <c r="M15" s="226"/>
      <c r="N15" s="369"/>
      <c r="O15" s="651">
        <v>300</v>
      </c>
      <c r="P15" s="119" t="s">
        <v>212</v>
      </c>
      <c r="Q15" s="298" t="str">
        <f>C112</f>
        <v>Lagerlådssäck</v>
      </c>
      <c r="R15" s="119"/>
      <c r="S15" s="379">
        <v>0.5</v>
      </c>
      <c r="T15" s="255">
        <v>0.72</v>
      </c>
      <c r="U15" s="239" t="s">
        <v>206</v>
      </c>
      <c r="AB15" s="56"/>
      <c r="AE15" s="291" t="s">
        <v>337</v>
      </c>
      <c r="AF15" s="56"/>
      <c r="AG15" s="56"/>
      <c r="AH15" s="56"/>
      <c r="AI15" s="56"/>
      <c r="AJ15" s="56"/>
      <c r="AK15" s="56"/>
      <c r="AL15" s="56"/>
      <c r="AM15" s="56"/>
      <c r="AN15" s="56"/>
      <c r="AO15" s="826">
        <v>2</v>
      </c>
      <c r="AP15" s="826">
        <v>2</v>
      </c>
      <c r="AQ15" s="56"/>
      <c r="AR15" s="56"/>
      <c r="AS15" s="56"/>
      <c r="AT15" s="56"/>
      <c r="AU15" s="56"/>
      <c r="AV15" s="56"/>
      <c r="AW15" s="826">
        <v>2</v>
      </c>
      <c r="AX15" s="826"/>
      <c r="AY15" s="56"/>
      <c r="AZ15" s="56"/>
      <c r="BA15" s="56"/>
      <c r="BB15" s="56"/>
      <c r="BC15" s="56"/>
      <c r="BD15" s="817">
        <f t="shared" si="0"/>
        <v>6</v>
      </c>
      <c r="BE15" s="807"/>
    </row>
    <row r="16" spans="1:57" s="56" customFormat="1" ht="16.95" customHeight="1" thickBot="1" x14ac:dyDescent="0.35">
      <c r="A16" s="470"/>
      <c r="B16" s="235"/>
      <c r="C16" s="245"/>
      <c r="D16" s="249"/>
      <c r="E16" s="249"/>
      <c r="F16" s="250"/>
      <c r="G16" s="120"/>
      <c r="H16" s="249"/>
      <c r="I16" s="249"/>
      <c r="J16" s="249"/>
      <c r="K16" s="249"/>
      <c r="L16" s="249"/>
      <c r="M16" s="234"/>
      <c r="N16" s="369"/>
      <c r="O16" s="651">
        <f t="shared" ref="O16:O18" si="1">D113</f>
        <v>0</v>
      </c>
      <c r="P16" s="119" t="s">
        <v>212</v>
      </c>
      <c r="Q16" s="298" t="s">
        <v>272</v>
      </c>
      <c r="R16" s="119"/>
      <c r="S16" s="379">
        <v>0</v>
      </c>
      <c r="T16" s="255"/>
      <c r="U16" s="239" t="s">
        <v>206</v>
      </c>
      <c r="AE16" s="291" t="s">
        <v>338</v>
      </c>
      <c r="AP16" s="826">
        <v>1</v>
      </c>
      <c r="AQ16" s="826">
        <v>1</v>
      </c>
      <c r="BD16" s="817">
        <f t="shared" si="0"/>
        <v>2</v>
      </c>
      <c r="BE16" s="807"/>
    </row>
    <row r="17" spans="1:57" s="69" customFormat="1" ht="16.95" customHeight="1" thickBot="1" x14ac:dyDescent="0.35">
      <c r="A17" s="470"/>
      <c r="B17" s="235"/>
      <c r="C17" s="228" t="s">
        <v>382</v>
      </c>
      <c r="D17" s="236"/>
      <c r="E17" s="236"/>
      <c r="F17" s="247">
        <f>IF('Gårdens info'!D13&gt;0,J74,0)</f>
        <v>1350</v>
      </c>
      <c r="G17" s="119" t="s">
        <v>57</v>
      </c>
      <c r="H17" s="503">
        <f>IF('Gårdens info'!$G$13&gt;0,F17/'Gårdens info'!$G$13,)</f>
        <v>2.7E-2</v>
      </c>
      <c r="I17" s="119" t="s">
        <v>206</v>
      </c>
      <c r="J17" s="237">
        <f>F17*'Gårdens info'!$D$13</f>
        <v>13500</v>
      </c>
      <c r="K17" s="119" t="s">
        <v>380</v>
      </c>
      <c r="L17" s="236"/>
      <c r="M17" s="239"/>
      <c r="N17" s="227"/>
      <c r="O17" s="651">
        <f t="shared" si="1"/>
        <v>0</v>
      </c>
      <c r="P17" s="119" t="s">
        <v>212</v>
      </c>
      <c r="Q17" s="298" t="s">
        <v>272</v>
      </c>
      <c r="R17" s="119"/>
      <c r="S17" s="379">
        <v>0</v>
      </c>
      <c r="T17" s="255"/>
      <c r="U17" s="239" t="s">
        <v>206</v>
      </c>
      <c r="AB17" s="56"/>
      <c r="AE17" s="291" t="s">
        <v>339</v>
      </c>
      <c r="AF17" s="56"/>
      <c r="AG17" s="56"/>
      <c r="AH17" s="56"/>
      <c r="AI17" s="56"/>
      <c r="AJ17" s="56"/>
      <c r="AK17" s="56"/>
      <c r="AL17" s="56"/>
      <c r="AM17" s="56"/>
      <c r="AN17" s="56"/>
      <c r="AO17" s="56"/>
      <c r="AP17" s="56"/>
      <c r="AQ17" s="56"/>
      <c r="AR17" s="826">
        <v>3</v>
      </c>
      <c r="AS17" s="826">
        <v>3</v>
      </c>
      <c r="AT17" s="56"/>
      <c r="AU17" s="56"/>
      <c r="AV17" s="56"/>
      <c r="AW17" s="56"/>
      <c r="AX17" s="56"/>
      <c r="AY17" s="56"/>
      <c r="AZ17" s="56"/>
      <c r="BA17" s="56"/>
      <c r="BB17" s="56"/>
      <c r="BC17" s="56"/>
      <c r="BD17" s="817">
        <f t="shared" si="0"/>
        <v>6</v>
      </c>
      <c r="BE17" s="807"/>
    </row>
    <row r="18" spans="1:57" s="69" customFormat="1" ht="18" thickBot="1" x14ac:dyDescent="0.35">
      <c r="A18" s="470"/>
      <c r="B18" s="235"/>
      <c r="C18" s="228" t="s">
        <v>219</v>
      </c>
      <c r="D18" s="236"/>
      <c r="E18" s="236"/>
      <c r="F18" s="237">
        <f>IF('Gårdens info'!D13&gt;0,J84,0)</f>
        <v>1720</v>
      </c>
      <c r="G18" s="119" t="s">
        <v>57</v>
      </c>
      <c r="H18" s="503">
        <f>IF('Gårdens info'!$G$13&gt;0,F18/'Gårdens info'!$G$13,)</f>
        <v>3.44E-2</v>
      </c>
      <c r="I18" s="119" t="s">
        <v>206</v>
      </c>
      <c r="J18" s="237">
        <f>F18*'Gårdens info'!$D$13</f>
        <v>17200</v>
      </c>
      <c r="K18" s="119" t="s">
        <v>380</v>
      </c>
      <c r="L18" s="236"/>
      <c r="M18" s="239"/>
      <c r="N18" s="369"/>
      <c r="O18" s="651">
        <f t="shared" si="1"/>
        <v>0</v>
      </c>
      <c r="P18" s="119" t="s">
        <v>212</v>
      </c>
      <c r="Q18" s="298" t="s">
        <v>272</v>
      </c>
      <c r="R18" s="119"/>
      <c r="S18" s="378">
        <v>0</v>
      </c>
      <c r="T18" s="255"/>
      <c r="U18" s="239" t="s">
        <v>206</v>
      </c>
      <c r="AE18" s="291" t="s">
        <v>383</v>
      </c>
      <c r="AF18" s="56"/>
      <c r="AG18" s="56"/>
      <c r="AH18" s="56"/>
      <c r="AI18" s="56"/>
      <c r="AJ18" s="56"/>
      <c r="AK18" s="56"/>
      <c r="AL18" s="56"/>
      <c r="AM18" s="56"/>
      <c r="AN18" s="56"/>
      <c r="AO18" s="56"/>
      <c r="AP18" s="56"/>
      <c r="AQ18" s="56"/>
      <c r="AR18" s="826">
        <v>20</v>
      </c>
      <c r="AS18" s="826">
        <v>20</v>
      </c>
      <c r="AT18" s="56"/>
      <c r="AU18" s="56"/>
      <c r="AV18" s="56"/>
      <c r="AW18" s="56"/>
      <c r="AX18" s="56"/>
      <c r="AY18" s="56"/>
      <c r="AZ18" s="56"/>
      <c r="BA18" s="56"/>
      <c r="BB18" s="56"/>
      <c r="BC18" s="56"/>
      <c r="BD18" s="817">
        <f t="shared" si="0"/>
        <v>40</v>
      </c>
      <c r="BE18" s="807"/>
    </row>
    <row r="19" spans="1:57" s="69" customFormat="1" ht="17.399999999999999" x14ac:dyDescent="0.3">
      <c r="A19" s="470"/>
      <c r="B19" s="235"/>
      <c r="C19" s="228" t="s">
        <v>220</v>
      </c>
      <c r="D19" s="236"/>
      <c r="E19" s="236"/>
      <c r="F19" s="237">
        <f>IF('Gårdens info'!D13&gt;0,J103,0)</f>
        <v>800.1</v>
      </c>
      <c r="G19" s="119" t="s">
        <v>57</v>
      </c>
      <c r="H19" s="503">
        <f>IF('Gårdens info'!$G$13&gt;0,F19/'Gårdens info'!$G$13,)</f>
        <v>1.6001999999999999E-2</v>
      </c>
      <c r="I19" s="119" t="s">
        <v>206</v>
      </c>
      <c r="J19" s="237">
        <f>F19*'Gårdens info'!$D$13</f>
        <v>8001</v>
      </c>
      <c r="K19" s="119" t="s">
        <v>380</v>
      </c>
      <c r="L19" s="236"/>
      <c r="M19" s="239"/>
      <c r="N19" s="371"/>
      <c r="O19" s="1088" t="s">
        <v>54</v>
      </c>
      <c r="P19" s="1088"/>
      <c r="Q19" s="1088"/>
      <c r="R19" s="120"/>
      <c r="S19" s="375">
        <f>SUM(S11:S18)</f>
        <v>1</v>
      </c>
      <c r="T19" s="120"/>
      <c r="U19" s="234"/>
      <c r="AE19" s="291" t="s">
        <v>341</v>
      </c>
      <c r="AF19" s="826"/>
      <c r="AG19" s="826">
        <v>3</v>
      </c>
      <c r="AH19" s="826"/>
      <c r="AI19" s="826">
        <v>3</v>
      </c>
      <c r="AJ19" s="826"/>
      <c r="AK19" s="826">
        <v>3</v>
      </c>
      <c r="AL19" s="826"/>
      <c r="AM19" s="56"/>
      <c r="AN19" s="56"/>
      <c r="AO19" s="56"/>
      <c r="AP19" s="56"/>
      <c r="AQ19" s="56"/>
      <c r="AR19" s="56"/>
      <c r="AS19" s="56"/>
      <c r="AT19" s="56"/>
      <c r="AU19" s="56"/>
      <c r="AV19" s="56"/>
      <c r="AW19" s="56"/>
      <c r="AX19" s="56"/>
      <c r="AY19" s="56"/>
      <c r="AZ19" s="56"/>
      <c r="BA19" s="56"/>
      <c r="BB19" s="56"/>
      <c r="BC19" s="56"/>
      <c r="BD19" s="817">
        <f t="shared" si="0"/>
        <v>9</v>
      </c>
      <c r="BE19" s="807"/>
    </row>
    <row r="20" spans="1:57" s="69" customFormat="1" ht="17.399999999999999" x14ac:dyDescent="0.3">
      <c r="A20" s="470"/>
      <c r="B20" s="235"/>
      <c r="C20" s="228" t="s">
        <v>221</v>
      </c>
      <c r="D20" s="236"/>
      <c r="E20" s="236"/>
      <c r="F20" s="237">
        <f>IF('Gårdens info'!D13&gt;0,J116,0)</f>
        <v>833.33333333333337</v>
      </c>
      <c r="G20" s="119" t="s">
        <v>57</v>
      </c>
      <c r="H20" s="503">
        <f>IF('Gårdens info'!$G$13&gt;0,F20/'Gårdens info'!$G$13,)</f>
        <v>1.6666666666666666E-2</v>
      </c>
      <c r="I20" s="119" t="s">
        <v>206</v>
      </c>
      <c r="J20" s="237">
        <f>F20*'Gårdens info'!$D$13</f>
        <v>8333.3333333333339</v>
      </c>
      <c r="K20" s="119" t="s">
        <v>380</v>
      </c>
      <c r="L20" s="236"/>
      <c r="M20" s="239"/>
      <c r="N20" s="227"/>
      <c r="O20" s="376" t="str">
        <f>IF(S19=100%," ","HUOM! Osuus myyynneistä pitää summautua 100 prosenttiin")</f>
        <v xml:space="preserve"> </v>
      </c>
      <c r="P20" s="119"/>
      <c r="R20" s="119"/>
      <c r="S20" s="119"/>
      <c r="T20" s="119"/>
      <c r="U20" s="239"/>
      <c r="AE20" s="291" t="s">
        <v>38</v>
      </c>
      <c r="AF20" s="56"/>
      <c r="AG20" s="56"/>
      <c r="AH20" s="56"/>
      <c r="AI20" s="56"/>
      <c r="AJ20" s="56"/>
      <c r="AK20" s="56"/>
      <c r="AL20" s="56"/>
      <c r="AM20" s="56"/>
      <c r="AN20" s="56"/>
      <c r="AO20" s="56"/>
      <c r="AP20" s="56"/>
      <c r="AQ20" s="56"/>
      <c r="AR20" s="56"/>
      <c r="AS20" s="56"/>
      <c r="AT20" s="56"/>
      <c r="AU20" s="56"/>
      <c r="AV20" s="56"/>
      <c r="AW20" s="826">
        <v>10</v>
      </c>
      <c r="AX20" s="826">
        <v>10</v>
      </c>
      <c r="AY20" s="56"/>
      <c r="AZ20" s="56"/>
      <c r="BA20" s="56"/>
      <c r="BB20" s="56"/>
      <c r="BC20" s="56"/>
      <c r="BD20" s="817">
        <f t="shared" si="0"/>
        <v>20</v>
      </c>
      <c r="BE20" s="807"/>
    </row>
    <row r="21" spans="1:57" s="69" customFormat="1" ht="18" thickBot="1" x14ac:dyDescent="0.35">
      <c r="A21" s="470"/>
      <c r="B21" s="235"/>
      <c r="C21" s="228" t="s">
        <v>222</v>
      </c>
      <c r="D21" s="236"/>
      <c r="E21" s="236"/>
      <c r="F21" s="237">
        <f>IF('Gårdens info'!D13&gt;0,J124,0)</f>
        <v>900</v>
      </c>
      <c r="G21" s="119" t="s">
        <v>57</v>
      </c>
      <c r="H21" s="503">
        <f>IF('Gårdens info'!$G$13&gt;0,F21/'Gårdens info'!$G$13,)</f>
        <v>1.7999999999999999E-2</v>
      </c>
      <c r="I21" s="119" t="s">
        <v>206</v>
      </c>
      <c r="J21" s="237">
        <f>F21*'Gårdens info'!$D$13</f>
        <v>9000</v>
      </c>
      <c r="K21" s="119" t="s">
        <v>380</v>
      </c>
      <c r="L21" s="236"/>
      <c r="M21" s="239"/>
      <c r="N21" s="372"/>
      <c r="O21" s="373"/>
      <c r="P21" s="373"/>
      <c r="Q21" s="373"/>
      <c r="R21" s="373"/>
      <c r="S21" s="373"/>
      <c r="T21" s="373"/>
      <c r="U21" s="374"/>
      <c r="AE21" s="291" t="s">
        <v>342</v>
      </c>
      <c r="AF21" s="56"/>
      <c r="AG21" s="56"/>
      <c r="AH21" s="56"/>
      <c r="AI21" s="56"/>
      <c r="AJ21" s="56"/>
      <c r="AK21" s="56"/>
      <c r="AL21" s="56"/>
      <c r="AM21" s="56"/>
      <c r="AN21" s="56"/>
      <c r="AO21" s="56"/>
      <c r="AP21" s="56"/>
      <c r="AQ21" s="56"/>
      <c r="AR21" s="56"/>
      <c r="AS21" s="56"/>
      <c r="AT21" s="56"/>
      <c r="AU21" s="56"/>
      <c r="AV21" s="56"/>
      <c r="AW21" s="826">
        <v>5</v>
      </c>
      <c r="AX21" s="826">
        <v>5</v>
      </c>
      <c r="AY21" s="56"/>
      <c r="AZ21" s="56"/>
      <c r="BA21" s="56"/>
      <c r="BB21" s="56"/>
      <c r="BC21" s="56"/>
      <c r="BD21" s="817">
        <f t="shared" si="0"/>
        <v>10</v>
      </c>
      <c r="BE21" s="807"/>
    </row>
    <row r="22" spans="1:57" s="69" customFormat="1" ht="17.399999999999999" x14ac:dyDescent="0.3">
      <c r="A22" s="470"/>
      <c r="B22" s="235"/>
      <c r="C22" s="228" t="s">
        <v>223</v>
      </c>
      <c r="D22" s="236"/>
      <c r="E22" s="236"/>
      <c r="F22" s="237">
        <f>IF('Gårdens info'!D13&gt;0,J132,0)</f>
        <v>0</v>
      </c>
      <c r="G22" s="119" t="s">
        <v>57</v>
      </c>
      <c r="H22" s="503">
        <f>IF('Gårdens info'!$G$13&gt;0,F22/'Gårdens info'!$G$13,)</f>
        <v>0</v>
      </c>
      <c r="I22" s="119" t="s">
        <v>206</v>
      </c>
      <c r="J22" s="237">
        <f>F22*'Gårdens info'!$D$13</f>
        <v>0</v>
      </c>
      <c r="K22" s="119" t="s">
        <v>380</v>
      </c>
      <c r="L22" s="236"/>
      <c r="M22" s="239"/>
      <c r="AE22" s="291" t="s">
        <v>306</v>
      </c>
      <c r="AF22" s="56"/>
      <c r="AG22" s="56"/>
      <c r="AH22" s="56"/>
      <c r="AI22" s="56"/>
      <c r="AJ22" s="56"/>
      <c r="AK22" s="56"/>
      <c r="AL22" s="56"/>
      <c r="AM22" s="56"/>
      <c r="AN22" s="56"/>
      <c r="AO22" s="56"/>
      <c r="AP22" s="56"/>
      <c r="AQ22" s="56"/>
      <c r="AR22" s="56"/>
      <c r="AS22" s="56"/>
      <c r="AT22" s="56"/>
      <c r="AU22" s="56"/>
      <c r="AV22" s="56"/>
      <c r="AW22" s="826">
        <v>6</v>
      </c>
      <c r="AX22" s="826">
        <v>6</v>
      </c>
      <c r="AY22" s="826">
        <v>6</v>
      </c>
      <c r="AZ22" s="826">
        <v>6</v>
      </c>
      <c r="BA22" s="826">
        <v>6</v>
      </c>
      <c r="BB22" s="826">
        <v>6</v>
      </c>
      <c r="BC22" s="826">
        <v>6</v>
      </c>
      <c r="BD22" s="817">
        <f>SUM(AF22:BC22)</f>
        <v>42</v>
      </c>
      <c r="BE22" s="807"/>
    </row>
    <row r="23" spans="1:57" s="69" customFormat="1" ht="17.399999999999999" x14ac:dyDescent="0.3">
      <c r="A23" s="470"/>
      <c r="B23" s="235"/>
      <c r="C23" s="228" t="s">
        <v>224</v>
      </c>
      <c r="D23" s="236"/>
      <c r="E23" s="236"/>
      <c r="F23" s="237">
        <f>IF('Gårdens info'!D13&gt;0,J144,0)</f>
        <v>1304.2399999999998</v>
      </c>
      <c r="G23" s="119" t="s">
        <v>57</v>
      </c>
      <c r="H23" s="503">
        <f>IF('Gårdens info'!$G$13&gt;0,F23/'Gårdens info'!$G$13,)</f>
        <v>2.6084799999999995E-2</v>
      </c>
      <c r="I23" s="119" t="s">
        <v>206</v>
      </c>
      <c r="J23" s="237">
        <f>F23*'Gårdens info'!$D$13</f>
        <v>13042.399999999998</v>
      </c>
      <c r="K23" s="119" t="s">
        <v>380</v>
      </c>
      <c r="L23" s="236"/>
      <c r="M23" s="239"/>
      <c r="AE23" s="291" t="s">
        <v>384</v>
      </c>
      <c r="AF23" s="56"/>
      <c r="AG23" s="56"/>
      <c r="AH23" s="56"/>
      <c r="AI23" s="56"/>
      <c r="AJ23" s="56"/>
      <c r="AK23" s="56"/>
      <c r="AL23" s="56"/>
      <c r="AM23" s="56"/>
      <c r="AN23" s="56"/>
      <c r="AO23" s="56"/>
      <c r="AP23" s="56"/>
      <c r="AQ23" s="56"/>
      <c r="AR23" s="56"/>
      <c r="AS23" s="56"/>
      <c r="AT23" s="56"/>
      <c r="AU23" s="56"/>
      <c r="AV23" s="56"/>
      <c r="AW23" s="56"/>
      <c r="AX23" s="56"/>
      <c r="AY23" s="826">
        <v>2</v>
      </c>
      <c r="AZ23" s="826">
        <v>2</v>
      </c>
      <c r="BA23" s="56"/>
      <c r="BB23" s="56"/>
      <c r="BC23" s="56"/>
      <c r="BD23" s="817">
        <f>SUM(AF23:BC23)</f>
        <v>4</v>
      </c>
      <c r="BE23" s="807"/>
    </row>
    <row r="24" spans="1:57" s="69" customFormat="1" ht="17.399999999999999" x14ac:dyDescent="0.3">
      <c r="A24" s="470"/>
      <c r="B24" s="235"/>
      <c r="C24" s="228" t="s">
        <v>225</v>
      </c>
      <c r="D24" s="236"/>
      <c r="E24" s="236"/>
      <c r="F24" s="237">
        <f>L181</f>
        <v>1102</v>
      </c>
      <c r="G24" s="119" t="s">
        <v>57</v>
      </c>
      <c r="H24" s="503">
        <f>IF('Gårdens info'!$G$13&gt;0,F24/'Gårdens info'!$G$13,)</f>
        <v>2.2040000000000001E-2</v>
      </c>
      <c r="I24" s="119" t="s">
        <v>206</v>
      </c>
      <c r="J24" s="237">
        <f>F24*'Gårdens info'!$D$13</f>
        <v>11020</v>
      </c>
      <c r="K24" s="119" t="s">
        <v>380</v>
      </c>
      <c r="L24" s="236"/>
      <c r="M24" s="239"/>
      <c r="AE24" s="291" t="s">
        <v>343</v>
      </c>
      <c r="AF24" s="826">
        <v>6</v>
      </c>
      <c r="AG24" s="826">
        <v>6</v>
      </c>
      <c r="AH24" s="56"/>
      <c r="AI24" s="56"/>
      <c r="AJ24" s="56"/>
      <c r="AK24" s="56"/>
      <c r="AL24" s="56"/>
      <c r="AM24" s="56"/>
      <c r="AN24" s="56"/>
      <c r="AO24" s="56"/>
      <c r="AP24" s="56"/>
      <c r="AQ24" s="56"/>
      <c r="AR24" s="56"/>
      <c r="AS24" s="56"/>
      <c r="AT24" s="56"/>
      <c r="AU24" s="56"/>
      <c r="AV24" s="56"/>
      <c r="AW24" s="56"/>
      <c r="AX24" s="56"/>
      <c r="AY24" s="56"/>
      <c r="AZ24" s="56"/>
      <c r="BA24" s="56"/>
      <c r="BB24" s="56"/>
      <c r="BC24" s="56"/>
      <c r="BD24" s="817">
        <f t="shared" si="0"/>
        <v>12</v>
      </c>
      <c r="BE24" s="807"/>
    </row>
    <row r="25" spans="1:57" ht="17.399999999999999" x14ac:dyDescent="0.3">
      <c r="B25" s="251"/>
      <c r="C25" s="240" t="s">
        <v>54</v>
      </c>
      <c r="D25" s="241"/>
      <c r="E25" s="241"/>
      <c r="F25" s="242">
        <f>SUM(F17:F24)</f>
        <v>8009.6733333333332</v>
      </c>
      <c r="G25" s="243" t="s">
        <v>57</v>
      </c>
      <c r="H25" s="504">
        <f>SUM(H17:H24)</f>
        <v>0.16019346666666667</v>
      </c>
      <c r="I25" s="243" t="s">
        <v>206</v>
      </c>
      <c r="J25" s="242">
        <f>SUM(J17:J24)</f>
        <v>80096.733333333337</v>
      </c>
      <c r="K25" s="243" t="s">
        <v>380</v>
      </c>
      <c r="L25" s="241"/>
      <c r="M25" s="252"/>
      <c r="N25" s="69"/>
      <c r="O25" s="69"/>
      <c r="P25" s="69"/>
      <c r="Q25" s="69"/>
      <c r="R25" s="69"/>
      <c r="S25" s="69"/>
      <c r="T25" s="69"/>
      <c r="U25" s="69"/>
      <c r="AE25" s="291" t="s">
        <v>344</v>
      </c>
      <c r="AF25" s="56"/>
      <c r="AG25" s="56"/>
      <c r="AH25" s="826">
        <v>6</v>
      </c>
      <c r="AI25" s="826"/>
      <c r="AJ25" s="56"/>
      <c r="AK25" s="56"/>
      <c r="AL25" s="56"/>
      <c r="AM25" s="56"/>
      <c r="AN25" s="56"/>
      <c r="AO25" s="56"/>
      <c r="AP25" s="56"/>
      <c r="AQ25" s="56"/>
      <c r="AR25" s="56"/>
      <c r="AS25" s="56"/>
      <c r="AT25" s="56"/>
      <c r="AU25" s="56"/>
      <c r="AV25" s="56"/>
      <c r="AW25" s="56"/>
      <c r="AX25" s="56"/>
      <c r="AY25" s="56"/>
      <c r="AZ25" s="56"/>
      <c r="BA25" s="56"/>
      <c r="BB25" s="56"/>
      <c r="BC25" s="56"/>
      <c r="BD25" s="817">
        <f t="shared" si="0"/>
        <v>6</v>
      </c>
      <c r="BE25" s="807"/>
    </row>
    <row r="26" spans="1:57" s="56" customFormat="1" ht="17.399999999999999" x14ac:dyDescent="0.3">
      <c r="A26" s="469"/>
      <c r="B26" s="231"/>
      <c r="C26" s="245"/>
      <c r="D26" s="246"/>
      <c r="E26" s="246"/>
      <c r="F26" s="247"/>
      <c r="G26" s="119"/>
      <c r="H26" s="505"/>
      <c r="I26" s="246"/>
      <c r="J26" s="246"/>
      <c r="K26" s="246"/>
      <c r="L26" s="246"/>
      <c r="M26" s="226"/>
      <c r="N26" s="69"/>
      <c r="O26" s="69"/>
      <c r="P26" s="69"/>
      <c r="R26" s="69"/>
      <c r="S26" s="69"/>
      <c r="T26" s="69"/>
      <c r="U26" s="69"/>
      <c r="AB26" s="449" t="s">
        <v>385</v>
      </c>
      <c r="AC26" s="561">
        <f>F17</f>
        <v>1350</v>
      </c>
      <c r="AE26" s="291" t="s">
        <v>345</v>
      </c>
      <c r="AF26" s="826">
        <v>2</v>
      </c>
      <c r="AG26" s="826"/>
      <c r="BD26" s="817">
        <f t="shared" si="0"/>
        <v>2</v>
      </c>
      <c r="BE26" s="807"/>
    </row>
    <row r="27" spans="1:57" s="69" customFormat="1" ht="17.399999999999999" x14ac:dyDescent="0.3">
      <c r="A27" s="470"/>
      <c r="B27" s="1089" t="s">
        <v>386</v>
      </c>
      <c r="C27" s="1090"/>
      <c r="D27" s="1090"/>
      <c r="E27" s="1090"/>
      <c r="F27" s="263">
        <f>IF('Gårdens info'!D13&gt;0,J27/'Gårdens info'!D13,0)</f>
        <v>238.2978723404255</v>
      </c>
      <c r="G27" s="243" t="s">
        <v>57</v>
      </c>
      <c r="H27" s="506">
        <f>IF('Gårdens info'!G13&gt;0,F27/'Gårdens info'!G13,0)</f>
        <v>4.7659574468085098E-3</v>
      </c>
      <c r="I27" s="243" t="s">
        <v>206</v>
      </c>
      <c r="J27" s="258">
        <f>'Gårdens info'!G163/'Gårdens info'!D43*'Gårdens info'!D13</f>
        <v>2382.9787234042551</v>
      </c>
      <c r="K27" s="243" t="s">
        <v>380</v>
      </c>
      <c r="L27" s="265"/>
      <c r="M27" s="259"/>
      <c r="N27"/>
      <c r="O27"/>
      <c r="P27"/>
      <c r="S27"/>
      <c r="T27"/>
      <c r="U27"/>
      <c r="AB27" s="382" t="str">
        <f t="shared" ref="AB27:AB33" si="2">C18</f>
        <v>Gödsel och kalk</v>
      </c>
      <c r="AC27" s="561">
        <f t="shared" ref="AC27:AC33" si="3">F18</f>
        <v>1720</v>
      </c>
      <c r="AE27" s="291" t="s">
        <v>346</v>
      </c>
      <c r="AF27" s="826">
        <v>4</v>
      </c>
      <c r="AG27" s="826"/>
      <c r="AH27" s="56"/>
      <c r="AI27" s="56"/>
      <c r="AJ27" s="56"/>
      <c r="AK27" s="56"/>
      <c r="AL27" s="56"/>
      <c r="AM27" s="56"/>
      <c r="AN27" s="56"/>
      <c r="AO27" s="56"/>
      <c r="AP27" s="56"/>
      <c r="AQ27" s="56"/>
      <c r="AR27" s="56"/>
      <c r="AS27" s="56"/>
      <c r="AT27" s="56"/>
      <c r="AU27" s="56"/>
      <c r="AV27" s="56"/>
      <c r="AW27" s="56"/>
      <c r="AX27" s="56"/>
      <c r="AY27" s="56"/>
      <c r="AZ27" s="56"/>
      <c r="BA27" s="56"/>
      <c r="BB27" s="56"/>
      <c r="BC27" s="56"/>
      <c r="BD27" s="817">
        <f t="shared" si="0"/>
        <v>4</v>
      </c>
      <c r="BE27" s="807"/>
    </row>
    <row r="28" spans="1:57" s="69" customFormat="1" ht="17.399999999999999" x14ac:dyDescent="0.3">
      <c r="A28" s="470"/>
      <c r="B28" s="1091" t="s">
        <v>387</v>
      </c>
      <c r="C28" s="1092"/>
      <c r="D28" s="1092"/>
      <c r="E28" s="1092"/>
      <c r="F28" s="263">
        <f>IF('Gårdens info'!D13&gt;0,J28/'Gårdens info'!D13,0)</f>
        <v>187.2340425531915</v>
      </c>
      <c r="G28" s="243" t="s">
        <v>57</v>
      </c>
      <c r="H28" s="506">
        <f>IF('Gårdens info'!G13&gt;0,F28/'Gårdens info'!G13,0)</f>
        <v>3.7446808510638299E-3</v>
      </c>
      <c r="I28" s="243" t="s">
        <v>206</v>
      </c>
      <c r="J28" s="258">
        <f>'Gårdens info'!$D$48/'Gårdens info'!$D$49*'Gårdens info'!$G$48*'Gårdens info'!D13</f>
        <v>1872.3404255319151</v>
      </c>
      <c r="K28" s="243" t="s">
        <v>380</v>
      </c>
      <c r="L28" s="265"/>
      <c r="M28" s="259"/>
      <c r="N28" s="56"/>
      <c r="O28" s="56"/>
      <c r="P28" s="56"/>
      <c r="S28" s="56"/>
      <c r="T28" s="56"/>
      <c r="U28" s="56"/>
      <c r="AB28" s="382" t="str">
        <f t="shared" si="2"/>
        <v>IPM Växtskydd</v>
      </c>
      <c r="AC28" s="561">
        <f t="shared" si="3"/>
        <v>800.1</v>
      </c>
      <c r="AE28" s="291" t="s">
        <v>348</v>
      </c>
      <c r="AF28" s="826">
        <v>1</v>
      </c>
      <c r="AG28" s="826"/>
      <c r="AH28" s="826">
        <v>1</v>
      </c>
      <c r="AI28" s="826"/>
      <c r="AJ28" s="826">
        <v>1</v>
      </c>
      <c r="AK28" s="826"/>
      <c r="AL28" s="826">
        <v>1</v>
      </c>
      <c r="AM28" s="826"/>
      <c r="AN28" s="826">
        <v>1</v>
      </c>
      <c r="AO28" s="826"/>
      <c r="AP28" s="826">
        <v>1</v>
      </c>
      <c r="AQ28" s="826"/>
      <c r="AR28" s="826">
        <v>1</v>
      </c>
      <c r="AS28" s="826"/>
      <c r="AT28" s="826">
        <v>1</v>
      </c>
      <c r="AU28" s="826"/>
      <c r="AV28" s="826">
        <v>1</v>
      </c>
      <c r="AW28" s="826"/>
      <c r="AX28" s="826">
        <v>1</v>
      </c>
      <c r="AY28" s="826"/>
      <c r="AZ28" s="826">
        <v>1</v>
      </c>
      <c r="BA28" s="826"/>
      <c r="BB28" s="826">
        <v>1</v>
      </c>
      <c r="BC28" s="826"/>
      <c r="BD28" s="817">
        <f t="shared" si="0"/>
        <v>12</v>
      </c>
      <c r="BE28" s="807"/>
    </row>
    <row r="29" spans="1:57" s="69" customFormat="1" ht="21" x14ac:dyDescent="0.4">
      <c r="A29" s="470"/>
      <c r="B29" s="1061" t="s">
        <v>189</v>
      </c>
      <c r="C29" s="1043"/>
      <c r="D29" s="1043"/>
      <c r="E29" s="262"/>
      <c r="F29" s="266">
        <f>F25+F27+F28</f>
        <v>8435.2052482269501</v>
      </c>
      <c r="G29" s="267" t="s">
        <v>57</v>
      </c>
      <c r="H29" s="507">
        <f>H25+H27+H28</f>
        <v>0.16870410496453903</v>
      </c>
      <c r="I29" s="267" t="s">
        <v>206</v>
      </c>
      <c r="J29" s="269">
        <f>J25+J27+J28</f>
        <v>84352.052482269515</v>
      </c>
      <c r="K29" s="267" t="s">
        <v>380</v>
      </c>
      <c r="L29" s="267"/>
      <c r="M29" s="259"/>
      <c r="AB29" s="382" t="str">
        <f t="shared" si="2"/>
        <v>Packningsmaterial</v>
      </c>
      <c r="AC29" s="561">
        <f>F20</f>
        <v>833.33333333333337</v>
      </c>
      <c r="AE29" s="291" t="s">
        <v>350</v>
      </c>
      <c r="AF29" s="56"/>
      <c r="AG29" s="826"/>
      <c r="AH29" s="826">
        <v>2</v>
      </c>
      <c r="AI29" s="826"/>
      <c r="AJ29" s="826">
        <v>2</v>
      </c>
      <c r="AK29" s="826"/>
      <c r="AL29" s="826">
        <v>2</v>
      </c>
      <c r="AM29" s="826"/>
      <c r="AN29" s="826">
        <v>4</v>
      </c>
      <c r="AO29" s="826"/>
      <c r="AP29" s="826">
        <v>4</v>
      </c>
      <c r="AQ29" s="826"/>
      <c r="AR29" s="826">
        <v>4</v>
      </c>
      <c r="AS29" s="826"/>
      <c r="AT29" s="826">
        <v>4</v>
      </c>
      <c r="AU29" s="826"/>
      <c r="AV29" s="826">
        <v>4</v>
      </c>
      <c r="AW29" s="826"/>
      <c r="AX29" s="826">
        <v>2</v>
      </c>
      <c r="AY29" s="826"/>
      <c r="AZ29" s="826">
        <v>2</v>
      </c>
      <c r="BA29" s="826"/>
      <c r="BB29" s="56"/>
      <c r="BC29" s="56"/>
      <c r="BD29" s="817">
        <f>SUM(AF29:BB29)</f>
        <v>30</v>
      </c>
      <c r="BE29" s="807"/>
    </row>
    <row r="30" spans="1:57" s="69" customFormat="1" ht="21" x14ac:dyDescent="0.4">
      <c r="A30" s="470"/>
      <c r="B30" s="288"/>
      <c r="C30" s="270"/>
      <c r="D30" s="270"/>
      <c r="E30" s="262"/>
      <c r="F30" s="266"/>
      <c r="G30" s="267"/>
      <c r="H30" s="268"/>
      <c r="I30" s="267"/>
      <c r="J30" s="269"/>
      <c r="K30" s="267"/>
      <c r="L30" s="267"/>
      <c r="M30" s="259"/>
      <c r="AB30" s="382" t="str">
        <f t="shared" si="2"/>
        <v>Fraktkostnader</v>
      </c>
      <c r="AC30" s="561">
        <f t="shared" si="3"/>
        <v>900</v>
      </c>
      <c r="AE30" s="291" t="s">
        <v>351</v>
      </c>
      <c r="AF30" s="56"/>
      <c r="AG30" s="826"/>
      <c r="AH30" s="826">
        <v>1</v>
      </c>
      <c r="AI30" s="826"/>
      <c r="AJ30" s="826">
        <v>1</v>
      </c>
      <c r="AK30" s="826"/>
      <c r="AL30" s="826">
        <v>1</v>
      </c>
      <c r="AM30" s="826"/>
      <c r="AN30" s="826">
        <v>1</v>
      </c>
      <c r="AO30" s="826"/>
      <c r="AP30" s="826">
        <v>1</v>
      </c>
      <c r="AQ30" s="826"/>
      <c r="AR30" s="826">
        <v>1</v>
      </c>
      <c r="AS30" s="826"/>
      <c r="AT30" s="826">
        <v>1</v>
      </c>
      <c r="AU30" s="826"/>
      <c r="AV30" s="826">
        <v>1</v>
      </c>
      <c r="AW30" s="826"/>
      <c r="AX30" s="826">
        <v>1</v>
      </c>
      <c r="AY30" s="826"/>
      <c r="AZ30" s="826">
        <v>1</v>
      </c>
      <c r="BA30" s="826"/>
      <c r="BB30" s="56"/>
      <c r="BC30" s="56"/>
      <c r="BD30" s="817">
        <f>SUM(AF30:BB30)</f>
        <v>10</v>
      </c>
      <c r="BE30" s="807"/>
    </row>
    <row r="31" spans="1:57" s="69" customFormat="1" ht="21" x14ac:dyDescent="0.4">
      <c r="A31" s="470"/>
      <c r="B31" s="257" t="s">
        <v>388</v>
      </c>
      <c r="C31" s="225"/>
      <c r="D31" s="116"/>
      <c r="E31" s="116"/>
      <c r="F31" s="116"/>
      <c r="G31" s="116"/>
      <c r="H31" s="116"/>
      <c r="I31" s="116"/>
      <c r="J31" s="232"/>
      <c r="K31" s="116"/>
      <c r="L31" s="116"/>
      <c r="M31" s="226"/>
      <c r="AB31" s="382" t="str">
        <f t="shared" si="2"/>
        <v>Maskinkostnader och entreprenad</v>
      </c>
      <c r="AC31" s="561">
        <f t="shared" si="3"/>
        <v>0</v>
      </c>
      <c r="AE31" s="291" t="s">
        <v>352</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817">
        <f t="shared" ref="BD31:BD33" si="4">SUM(AF31:BB31)</f>
        <v>0</v>
      </c>
      <c r="BE31" s="807"/>
    </row>
    <row r="32" spans="1:57" s="69" customFormat="1" ht="21" x14ac:dyDescent="0.4">
      <c r="A32" s="470"/>
      <c r="B32" s="1081" t="s">
        <v>69</v>
      </c>
      <c r="C32" s="1082"/>
      <c r="D32" s="270"/>
      <c r="E32" s="262"/>
      <c r="F32" s="266"/>
      <c r="G32" s="267"/>
      <c r="H32" s="268"/>
      <c r="I32" s="267"/>
      <c r="J32" s="269"/>
      <c r="K32" s="267"/>
      <c r="L32" s="267"/>
      <c r="M32" s="259"/>
      <c r="AB32" s="382" t="str">
        <f t="shared" si="2"/>
        <v>Energikostnader</v>
      </c>
      <c r="AC32" s="561">
        <f t="shared" si="3"/>
        <v>1304.2399999999998</v>
      </c>
      <c r="AE32" s="291" t="s">
        <v>352</v>
      </c>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817">
        <f t="shared" si="4"/>
        <v>0</v>
      </c>
      <c r="BE32" s="807"/>
    </row>
    <row r="33" spans="1:57" s="69" customFormat="1" ht="21" x14ac:dyDescent="0.4">
      <c r="A33" s="470"/>
      <c r="B33" s="287"/>
      <c r="C33" s="274" t="s">
        <v>229</v>
      </c>
      <c r="D33" s="270"/>
      <c r="E33" s="262"/>
      <c r="F33" s="276">
        <f>IF('Gårdens info'!$D$13&gt;0,J33/'Gårdens info'!$D$13,0)</f>
        <v>317.88384128809662</v>
      </c>
      <c r="G33" s="119" t="s">
        <v>57</v>
      </c>
      <c r="H33" s="502">
        <f>IF('Gårdens info'!$G$13&gt;0,F33/'Gårdens info'!$G$13,0)</f>
        <v>6.3576768257619324E-3</v>
      </c>
      <c r="I33" s="119" t="s">
        <v>206</v>
      </c>
      <c r="J33" s="237">
        <f>Egendom!AM25</f>
        <v>3178.8384128809662</v>
      </c>
      <c r="K33" s="119" t="s">
        <v>380</v>
      </c>
      <c r="L33" s="267"/>
      <c r="M33" s="259"/>
      <c r="AB33" s="382" t="str">
        <f t="shared" si="2"/>
        <v>Anställd arbetskraft</v>
      </c>
      <c r="AC33" s="561">
        <f t="shared" si="3"/>
        <v>1102</v>
      </c>
      <c r="AE33" s="291" t="s">
        <v>352</v>
      </c>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817">
        <f t="shared" si="4"/>
        <v>0</v>
      </c>
      <c r="BE33" s="807"/>
    </row>
    <row r="34" spans="1:57" s="192" customFormat="1" ht="21.6" thickBot="1" x14ac:dyDescent="0.45">
      <c r="A34" s="471"/>
      <c r="B34" s="287"/>
      <c r="C34" s="274" t="s">
        <v>230</v>
      </c>
      <c r="D34" s="270"/>
      <c r="E34" s="262"/>
      <c r="F34" s="276">
        <f>IF('Gårdens info'!$D$13&gt;0,J34/'Gårdens info'!$D$13,0)</f>
        <v>198.67740080506036</v>
      </c>
      <c r="G34" s="119" t="s">
        <v>57</v>
      </c>
      <c r="H34" s="502">
        <f>IF('Gårdens info'!$G$13&gt;0,F34/'Gårdens info'!$G$13,0)</f>
        <v>3.9735480161012075E-3</v>
      </c>
      <c r="I34" s="119" t="s">
        <v>206</v>
      </c>
      <c r="J34" s="237">
        <f>Egendom!BK25</f>
        <v>1986.7740080506037</v>
      </c>
      <c r="K34" s="119" t="s">
        <v>380</v>
      </c>
      <c r="L34" s="267"/>
      <c r="M34" s="259"/>
      <c r="N34" s="69"/>
      <c r="O34" s="69"/>
      <c r="P34" s="69"/>
      <c r="S34" s="69"/>
      <c r="T34" s="69"/>
      <c r="U34" s="69"/>
      <c r="AB34" s="384" t="s">
        <v>231</v>
      </c>
      <c r="AC34" s="384">
        <f>F27</f>
        <v>238.2978723404255</v>
      </c>
      <c r="AE34" s="806" t="s">
        <v>354</v>
      </c>
      <c r="AF34" s="819">
        <f>SUM(AF6:AF33)</f>
        <v>13</v>
      </c>
      <c r="AG34" s="819">
        <f t="shared" ref="AG34:BC34" si="5">SUM(AG6:AG33)</f>
        <v>9</v>
      </c>
      <c r="AH34" s="819">
        <f t="shared" si="5"/>
        <v>11</v>
      </c>
      <c r="AI34" s="819">
        <f t="shared" si="5"/>
        <v>3</v>
      </c>
      <c r="AJ34" s="819">
        <f t="shared" si="5"/>
        <v>5</v>
      </c>
      <c r="AK34" s="819">
        <f t="shared" si="5"/>
        <v>3</v>
      </c>
      <c r="AL34" s="819">
        <f t="shared" si="5"/>
        <v>5</v>
      </c>
      <c r="AM34" s="819">
        <f t="shared" si="5"/>
        <v>0</v>
      </c>
      <c r="AN34" s="819">
        <f t="shared" si="5"/>
        <v>20</v>
      </c>
      <c r="AO34" s="819">
        <f t="shared" si="5"/>
        <v>15</v>
      </c>
      <c r="AP34" s="819">
        <f t="shared" si="5"/>
        <v>13</v>
      </c>
      <c r="AQ34" s="819">
        <f t="shared" si="5"/>
        <v>6</v>
      </c>
      <c r="AR34" s="819">
        <f t="shared" si="5"/>
        <v>35</v>
      </c>
      <c r="AS34" s="819">
        <f t="shared" si="5"/>
        <v>26</v>
      </c>
      <c r="AT34" s="819">
        <f t="shared" si="5"/>
        <v>11</v>
      </c>
      <c r="AU34" s="819">
        <f t="shared" si="5"/>
        <v>0</v>
      </c>
      <c r="AV34" s="819">
        <f t="shared" si="5"/>
        <v>7</v>
      </c>
      <c r="AW34" s="819">
        <f t="shared" si="5"/>
        <v>23</v>
      </c>
      <c r="AX34" s="819">
        <f t="shared" si="5"/>
        <v>26</v>
      </c>
      <c r="AY34" s="819">
        <f t="shared" si="5"/>
        <v>8</v>
      </c>
      <c r="AZ34" s="819">
        <f t="shared" si="5"/>
        <v>13</v>
      </c>
      <c r="BA34" s="819">
        <f t="shared" si="5"/>
        <v>6</v>
      </c>
      <c r="BB34" s="819">
        <f t="shared" si="5"/>
        <v>8</v>
      </c>
      <c r="BC34" s="819">
        <f t="shared" si="5"/>
        <v>6</v>
      </c>
      <c r="BD34" s="819">
        <f>SUM(BD6:BD33)</f>
        <v>272</v>
      </c>
      <c r="BE34" s="820"/>
    </row>
    <row r="35" spans="1:57" ht="17.399999999999999" customHeight="1" x14ac:dyDescent="0.3">
      <c r="B35" s="287"/>
      <c r="C35" s="1083" t="s">
        <v>232</v>
      </c>
      <c r="D35" s="1083"/>
      <c r="E35" s="262"/>
      <c r="F35" s="276">
        <f>IF('Gårdens info'!$D$13&gt;0,J35/'Gårdens info'!$D$13,0)</f>
        <v>79.470960322024155</v>
      </c>
      <c r="G35" s="119" t="s">
        <v>57</v>
      </c>
      <c r="H35" s="502">
        <f>IF('Gårdens info'!$G$13&gt;0,F35/'Gårdens info'!$G$13,0)</f>
        <v>1.5894192064404831E-3</v>
      </c>
      <c r="I35" s="119" t="s">
        <v>206</v>
      </c>
      <c r="J35" s="237">
        <f>Egendom!CI25</f>
        <v>794.70960322024155</v>
      </c>
      <c r="K35" s="119" t="s">
        <v>380</v>
      </c>
      <c r="L35" s="267"/>
      <c r="M35" s="259"/>
      <c r="N35" s="69"/>
      <c r="O35" s="69"/>
      <c r="P35" s="69"/>
      <c r="S35" s="69"/>
      <c r="T35" s="69"/>
      <c r="U35" s="69"/>
      <c r="AB35" s="382" t="s">
        <v>233</v>
      </c>
      <c r="AC35" s="384">
        <f>F28</f>
        <v>187.2340425531915</v>
      </c>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row>
    <row r="36" spans="1:57" ht="21" x14ac:dyDescent="0.4">
      <c r="B36" s="287"/>
      <c r="C36" s="274" t="s">
        <v>234</v>
      </c>
      <c r="D36" s="270"/>
      <c r="E36" s="262"/>
      <c r="F36" s="276">
        <f>IF('Gårdens info'!$D$13&gt;0,J36/'Gårdens info'!$D$13,0)</f>
        <v>15.89419206440483</v>
      </c>
      <c r="G36" s="119" t="s">
        <v>57</v>
      </c>
      <c r="H36" s="502">
        <f>IF('Gårdens info'!$G$13&gt;0,F36/'Gårdens info'!$G$13,0)</f>
        <v>3.1788384128809662E-4</v>
      </c>
      <c r="I36" s="119" t="s">
        <v>206</v>
      </c>
      <c r="J36" s="237">
        <f>Egendom!DG25</f>
        <v>158.94192064404831</v>
      </c>
      <c r="K36" s="119" t="s">
        <v>380</v>
      </c>
      <c r="L36" s="267"/>
      <c r="M36" s="259"/>
      <c r="N36" s="192"/>
      <c r="O36" s="192"/>
      <c r="P36" s="192"/>
      <c r="S36" s="192"/>
      <c r="T36" s="192"/>
      <c r="U36" s="192"/>
      <c r="AB36" s="382" t="s">
        <v>235</v>
      </c>
      <c r="AC36" s="385">
        <f>F37</f>
        <v>611.92639447958607</v>
      </c>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row>
    <row r="37" spans="1:57" ht="20.399999999999999" x14ac:dyDescent="0.35">
      <c r="B37" s="289"/>
      <c r="C37" s="278" t="s">
        <v>54</v>
      </c>
      <c r="D37" s="279"/>
      <c r="E37" s="262"/>
      <c r="F37" s="280">
        <f>SUM(F33:F36)</f>
        <v>611.92639447958607</v>
      </c>
      <c r="G37" s="119" t="s">
        <v>57</v>
      </c>
      <c r="H37" s="509">
        <f t="shared" ref="H37:J37" si="6">SUM(H33:H36)</f>
        <v>1.2238527889591719E-2</v>
      </c>
      <c r="I37" s="119" t="s">
        <v>206</v>
      </c>
      <c r="J37" s="280">
        <f t="shared" si="6"/>
        <v>6119.2639447958591</v>
      </c>
      <c r="K37" s="119" t="s">
        <v>380</v>
      </c>
      <c r="L37" s="281"/>
      <c r="M37" s="259"/>
      <c r="AB37" s="382" t="s">
        <v>236</v>
      </c>
      <c r="AC37" s="386">
        <f>F44</f>
        <v>700.42695035460997</v>
      </c>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row>
    <row r="38" spans="1:57" s="69" customFormat="1" ht="21" x14ac:dyDescent="0.4">
      <c r="A38" s="470"/>
      <c r="B38" s="287"/>
      <c r="C38" s="274"/>
      <c r="D38" s="270"/>
      <c r="E38" s="262"/>
      <c r="F38" s="276"/>
      <c r="G38" s="119"/>
      <c r="H38" s="277"/>
      <c r="I38" s="119"/>
      <c r="J38" s="237"/>
      <c r="K38" s="119"/>
      <c r="L38" s="267"/>
      <c r="M38" s="259"/>
      <c r="N38"/>
      <c r="O38"/>
      <c r="P38"/>
      <c r="S38"/>
      <c r="T38"/>
      <c r="U38"/>
      <c r="AB38" s="382" t="s">
        <v>237</v>
      </c>
      <c r="AC38" s="386">
        <f>F51</f>
        <v>96.109189189189209</v>
      </c>
    </row>
    <row r="39" spans="1:57" s="69" customFormat="1" ht="17.399999999999999" x14ac:dyDescent="0.3">
      <c r="A39" s="470"/>
      <c r="B39" s="1081" t="s">
        <v>83</v>
      </c>
      <c r="C39" s="1082"/>
      <c r="D39" s="1082"/>
      <c r="E39" s="262"/>
      <c r="F39" s="276"/>
      <c r="G39" s="119"/>
      <c r="H39" s="277"/>
      <c r="I39" s="119"/>
      <c r="J39" s="237"/>
      <c r="K39" s="119"/>
      <c r="L39" s="267"/>
      <c r="M39" s="259"/>
      <c r="N39"/>
      <c r="O39"/>
      <c r="P39"/>
      <c r="S39"/>
      <c r="T39"/>
      <c r="U39"/>
      <c r="AB39" s="382" t="s">
        <v>238</v>
      </c>
      <c r="AC39" s="386">
        <f>F57</f>
        <v>12.76595744680851</v>
      </c>
    </row>
    <row r="40" spans="1:57" s="69" customFormat="1" ht="21" x14ac:dyDescent="0.4">
      <c r="A40" s="470"/>
      <c r="B40" s="287"/>
      <c r="C40" s="274" t="s">
        <v>229</v>
      </c>
      <c r="D40" s="270"/>
      <c r="E40" s="262"/>
      <c r="F40" s="276">
        <f>IF('Gårdens info'!$D$13&gt;0,J40/'Gårdens info'!$D$13,0)</f>
        <v>377.58865248226954</v>
      </c>
      <c r="G40" s="119" t="s">
        <v>57</v>
      </c>
      <c r="H40" s="502">
        <f>IF('Gårdens info'!$G$13&gt;0,F40/'Gårdens info'!$G$13,0)</f>
        <v>7.5517730496453906E-3</v>
      </c>
      <c r="I40" s="119" t="s">
        <v>206</v>
      </c>
      <c r="J40" s="237">
        <f>Egendom!AM61</f>
        <v>3775.8865248226953</v>
      </c>
      <c r="K40" s="119" t="s">
        <v>380</v>
      </c>
      <c r="L40" s="267"/>
      <c r="M40" s="259"/>
      <c r="AB40" s="382" t="s">
        <v>192</v>
      </c>
      <c r="AC40" s="384">
        <f>F63</f>
        <v>2842</v>
      </c>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row>
    <row r="41" spans="1:57" s="5" customFormat="1" ht="21" x14ac:dyDescent="0.4">
      <c r="A41" s="468"/>
      <c r="B41" s="287"/>
      <c r="C41" s="274" t="s">
        <v>230</v>
      </c>
      <c r="D41" s="270"/>
      <c r="E41" s="262"/>
      <c r="F41" s="276">
        <f>IF('Gårdens info'!$D$13&gt;0,J41/'Gårdens info'!$D$13,0)</f>
        <v>141.59574468085106</v>
      </c>
      <c r="G41" s="119" t="s">
        <v>57</v>
      </c>
      <c r="H41" s="502">
        <f>IF('Gårdens info'!$G$13&gt;0,F41/'Gårdens info'!$G$13,0)</f>
        <v>2.8319148936170211E-3</v>
      </c>
      <c r="I41" s="119" t="s">
        <v>206</v>
      </c>
      <c r="J41" s="237">
        <f>Egendom!BK61</f>
        <v>1415.9574468085104</v>
      </c>
      <c r="K41" s="119" t="s">
        <v>380</v>
      </c>
      <c r="L41" s="267"/>
      <c r="M41" s="259"/>
      <c r="N41" s="69"/>
      <c r="O41" s="69"/>
      <c r="P41" s="69"/>
      <c r="Q41" s="69"/>
      <c r="R41" s="69"/>
      <c r="S41" s="69"/>
      <c r="T41" s="69"/>
      <c r="U41" s="69"/>
      <c r="AB41" s="562"/>
      <c r="AC41" s="562"/>
      <c r="AE41"/>
      <c r="AF41"/>
      <c r="AG41"/>
      <c r="AH41"/>
      <c r="AI41"/>
      <c r="AJ41"/>
      <c r="AK41"/>
      <c r="AL41"/>
      <c r="AM41"/>
      <c r="AN41"/>
      <c r="AO41"/>
      <c r="AP41"/>
      <c r="AQ41"/>
      <c r="AR41"/>
      <c r="AS41"/>
      <c r="AT41"/>
      <c r="AU41"/>
      <c r="AV41"/>
      <c r="AW41"/>
      <c r="AX41"/>
      <c r="AY41"/>
      <c r="AZ41"/>
      <c r="BA41"/>
      <c r="BB41"/>
      <c r="BC41"/>
      <c r="BD41"/>
      <c r="BE41"/>
    </row>
    <row r="42" spans="1:57" s="5" customFormat="1" ht="17.399999999999999" customHeight="1" x14ac:dyDescent="0.3">
      <c r="A42" s="468"/>
      <c r="B42" s="287"/>
      <c r="C42" s="1083" t="s">
        <v>232</v>
      </c>
      <c r="D42" s="1083"/>
      <c r="E42" s="262"/>
      <c r="F42" s="276">
        <f>IF('Gårdens info'!$D$13&gt;0,J42/'Gårdens info'!$D$13,0)</f>
        <v>169.91489361702131</v>
      </c>
      <c r="G42" s="119" t="s">
        <v>57</v>
      </c>
      <c r="H42" s="502">
        <f>IF('Gårdens info'!$G$13&gt;0,F42/'Gårdens info'!$G$13,0)</f>
        <v>3.3982978723404262E-3</v>
      </c>
      <c r="I42" s="119" t="s">
        <v>206</v>
      </c>
      <c r="J42" s="237">
        <f>Egendom!CI61</f>
        <v>1699.1489361702131</v>
      </c>
      <c r="K42" s="119" t="s">
        <v>380</v>
      </c>
      <c r="L42" s="267"/>
      <c r="M42" s="259"/>
      <c r="N42" s="69"/>
      <c r="O42" s="69"/>
      <c r="P42" s="69"/>
      <c r="Q42" s="69"/>
      <c r="R42" s="69"/>
      <c r="S42" s="69"/>
      <c r="T42" s="69"/>
      <c r="U42" s="69"/>
      <c r="AE42"/>
      <c r="AF42"/>
      <c r="AG42"/>
      <c r="AH42"/>
      <c r="AI42"/>
      <c r="AJ42"/>
      <c r="AK42"/>
      <c r="AL42"/>
      <c r="AM42"/>
      <c r="AN42"/>
      <c r="AO42"/>
      <c r="AP42"/>
      <c r="AQ42"/>
      <c r="AR42"/>
      <c r="AS42"/>
      <c r="AT42"/>
      <c r="AU42"/>
      <c r="AV42"/>
      <c r="AW42"/>
      <c r="AX42"/>
      <c r="AY42"/>
      <c r="AZ42"/>
      <c r="BA42"/>
      <c r="BB42"/>
      <c r="BC42"/>
      <c r="BD42"/>
      <c r="BE42"/>
    </row>
    <row r="43" spans="1:57" s="5" customFormat="1" ht="21" x14ac:dyDescent="0.4">
      <c r="A43" s="468"/>
      <c r="B43" s="287"/>
      <c r="C43" s="274" t="s">
        <v>234</v>
      </c>
      <c r="D43" s="270"/>
      <c r="E43" s="262"/>
      <c r="F43" s="276">
        <f>IF('Gårdens info'!$D$13&gt;0,J43/'Gårdens info'!$D$13,0)</f>
        <v>11.327659574468083</v>
      </c>
      <c r="G43" s="119" t="s">
        <v>57</v>
      </c>
      <c r="H43" s="502">
        <f>IF('Gårdens info'!$G$13&gt;0,F43/'Gårdens info'!$G$13,0)</f>
        <v>2.2655319148936166E-4</v>
      </c>
      <c r="I43" s="119" t="s">
        <v>206</v>
      </c>
      <c r="J43" s="237">
        <f>Egendom!DG61</f>
        <v>113.27659574468083</v>
      </c>
      <c r="K43" s="119" t="s">
        <v>380</v>
      </c>
      <c r="L43" s="267"/>
      <c r="M43" s="259"/>
      <c r="AE43"/>
      <c r="AF43"/>
      <c r="AG43"/>
      <c r="AH43"/>
      <c r="AI43"/>
      <c r="AJ43"/>
      <c r="AK43"/>
      <c r="AL43"/>
      <c r="AM43"/>
      <c r="AN43"/>
      <c r="AO43"/>
      <c r="AP43"/>
      <c r="AQ43"/>
      <c r="AR43"/>
      <c r="AS43"/>
      <c r="AT43"/>
      <c r="AU43"/>
      <c r="AV43"/>
      <c r="AW43"/>
      <c r="AX43"/>
      <c r="AY43"/>
      <c r="AZ43"/>
      <c r="BA43"/>
      <c r="BB43"/>
      <c r="BC43"/>
      <c r="BD43"/>
      <c r="BE43"/>
    </row>
    <row r="44" spans="1:57" s="5" customFormat="1" ht="20.399999999999999" x14ac:dyDescent="0.35">
      <c r="A44" s="468"/>
      <c r="B44" s="289"/>
      <c r="C44" s="278" t="s">
        <v>54</v>
      </c>
      <c r="D44" s="279"/>
      <c r="E44" s="262"/>
      <c r="F44" s="280">
        <f>SUM(F40:F43)</f>
        <v>700.42695035460997</v>
      </c>
      <c r="G44" s="119" t="s">
        <v>57</v>
      </c>
      <c r="H44" s="509">
        <f t="shared" ref="H44:J44" si="7">SUM(H40:H43)</f>
        <v>1.40085390070922E-2</v>
      </c>
      <c r="I44" s="119" t="s">
        <v>206</v>
      </c>
      <c r="J44" s="280">
        <f t="shared" si="7"/>
        <v>7004.2695035461002</v>
      </c>
      <c r="K44" s="119" t="s">
        <v>380</v>
      </c>
      <c r="L44" s="281"/>
      <c r="M44" s="25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row>
    <row r="45" spans="1:57" s="5" customFormat="1" ht="21" x14ac:dyDescent="0.4">
      <c r="A45" s="468"/>
      <c r="B45" s="287"/>
      <c r="C45" s="274"/>
      <c r="D45" s="270"/>
      <c r="E45" s="262"/>
      <c r="F45" s="276"/>
      <c r="G45" s="119"/>
      <c r="H45" s="277"/>
      <c r="I45" s="119"/>
      <c r="J45" s="237"/>
      <c r="K45" s="119"/>
      <c r="L45" s="267"/>
      <c r="M45" s="25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row>
    <row r="46" spans="1:57" s="5" customFormat="1" ht="43.2" customHeight="1" x14ac:dyDescent="0.3">
      <c r="A46" s="468"/>
      <c r="B46" s="1081" t="s">
        <v>355</v>
      </c>
      <c r="C46" s="1082"/>
      <c r="D46" s="1082"/>
      <c r="E46" s="262"/>
      <c r="F46" s="276"/>
      <c r="G46" s="119"/>
      <c r="H46" s="277"/>
      <c r="I46" s="119"/>
      <c r="J46" s="237"/>
      <c r="K46" s="119"/>
      <c r="L46" s="267"/>
      <c r="M46" s="25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row>
    <row r="47" spans="1:57" ht="21" x14ac:dyDescent="0.4">
      <c r="B47" s="287"/>
      <c r="C47" s="274" t="s">
        <v>229</v>
      </c>
      <c r="D47" s="270"/>
      <c r="E47" s="262"/>
      <c r="F47" s="276">
        <f>IF('Gårdens info'!$D$13&gt;0,J47/'Gårdens info'!$D$13,0)</f>
        <v>61.729729729729755</v>
      </c>
      <c r="G47" s="119" t="s">
        <v>57</v>
      </c>
      <c r="H47" s="502">
        <f>IF('Gårdens info'!$G$13&gt;0,F47/'Gårdens info'!$G$13,0)</f>
        <v>1.234594594594595E-3</v>
      </c>
      <c r="I47" s="119" t="s">
        <v>206</v>
      </c>
      <c r="J47" s="237">
        <f>Egendom!AM90-Egendom!AM86</f>
        <v>617.29729729729752</v>
      </c>
      <c r="K47" s="119" t="s">
        <v>380</v>
      </c>
      <c r="L47" s="267"/>
      <c r="M47" s="259"/>
      <c r="N47" s="5"/>
      <c r="O47" s="5"/>
      <c r="P47" s="5"/>
      <c r="Q47" s="5"/>
      <c r="R47" s="5"/>
      <c r="S47" s="5"/>
      <c r="T47" s="5"/>
      <c r="U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row>
    <row r="48" spans="1:57" s="5" customFormat="1" ht="21" x14ac:dyDescent="0.4">
      <c r="A48" s="468"/>
      <c r="B48" s="287"/>
      <c r="C48" s="274" t="s">
        <v>230</v>
      </c>
      <c r="D48" s="270"/>
      <c r="E48" s="262"/>
      <c r="F48" s="276">
        <f>IF('Gårdens info'!$D$13&gt;0,J48/'Gårdens info'!$D$13,0)</f>
        <v>11.162162162162161</v>
      </c>
      <c r="G48" s="119" t="s">
        <v>57</v>
      </c>
      <c r="H48" s="502">
        <f>IF('Gårdens info'!$G$13&gt;0,F48/'Gårdens info'!$G$13,0)</f>
        <v>2.2324324324324323E-4</v>
      </c>
      <c r="I48" s="119" t="s">
        <v>206</v>
      </c>
      <c r="J48" s="237">
        <f>Egendom!BK90-Egendom!BK86</f>
        <v>111.62162162162161</v>
      </c>
      <c r="K48" s="119" t="s">
        <v>380</v>
      </c>
      <c r="L48" s="267"/>
      <c r="M48" s="259"/>
    </row>
    <row r="49" spans="1:57" s="5" customFormat="1" ht="17.399999999999999" customHeight="1" x14ac:dyDescent="0.3">
      <c r="A49" s="468"/>
      <c r="B49" s="287"/>
      <c r="C49" s="1083" t="s">
        <v>232</v>
      </c>
      <c r="D49" s="1083"/>
      <c r="E49" s="262"/>
      <c r="F49" s="276">
        <f>IF('Gårdens info'!$D$13&gt;0,J49/'Gårdens info'!$D$13,0)</f>
        <v>22.324324324324323</v>
      </c>
      <c r="G49" s="119" t="s">
        <v>57</v>
      </c>
      <c r="H49" s="502">
        <f>IF('Gårdens info'!$G$13&gt;0,F49/'Gårdens info'!$G$13,0)</f>
        <v>4.4648648648648646E-4</v>
      </c>
      <c r="I49" s="119" t="s">
        <v>206</v>
      </c>
      <c r="J49" s="237">
        <f>Egendom!CI90-Egendom!CI86</f>
        <v>223.24324324324323</v>
      </c>
      <c r="K49" s="119" t="s">
        <v>380</v>
      </c>
      <c r="L49" s="267"/>
      <c r="M49" s="259"/>
      <c r="N49"/>
      <c r="O49"/>
      <c r="P49"/>
      <c r="Q49"/>
      <c r="R49"/>
      <c r="S49"/>
      <c r="T49"/>
      <c r="U49"/>
    </row>
    <row r="50" spans="1:57" s="5" customFormat="1" ht="21" x14ac:dyDescent="0.4">
      <c r="A50" s="468"/>
      <c r="B50" s="287"/>
      <c r="C50" s="274" t="s">
        <v>234</v>
      </c>
      <c r="D50" s="270"/>
      <c r="E50" s="262"/>
      <c r="F50" s="276">
        <f>IF('Gårdens info'!$D$13&gt;0,J50/'Gårdens info'!$D$13,0)</f>
        <v>0.89297297297297329</v>
      </c>
      <c r="G50" s="119" t="s">
        <v>57</v>
      </c>
      <c r="H50" s="502">
        <f>IF('Gårdens info'!$G$13&gt;0,F50/'Gårdens info'!$G$13,0)</f>
        <v>1.7859459459459465E-5</v>
      </c>
      <c r="I50" s="119" t="s">
        <v>206</v>
      </c>
      <c r="J50" s="237">
        <f>Egendom!DG90-Egendom!DG86</f>
        <v>8.9297297297297327</v>
      </c>
      <c r="K50" s="119" t="s">
        <v>380</v>
      </c>
      <c r="L50" s="267"/>
      <c r="M50" s="259"/>
    </row>
    <row r="51" spans="1:57" s="5" customFormat="1" ht="20.399999999999999" x14ac:dyDescent="0.35">
      <c r="A51" s="468"/>
      <c r="B51" s="289"/>
      <c r="C51" s="278" t="s">
        <v>54</v>
      </c>
      <c r="D51" s="279"/>
      <c r="E51" s="262"/>
      <c r="F51" s="280">
        <f>SUM(F47:F50)</f>
        <v>96.109189189189209</v>
      </c>
      <c r="G51" s="119" t="s">
        <v>57</v>
      </c>
      <c r="H51" s="509">
        <f t="shared" ref="H51:J51" si="8">SUM(H47:H50)</f>
        <v>1.922183783783784E-3</v>
      </c>
      <c r="I51" s="119" t="s">
        <v>206</v>
      </c>
      <c r="J51" s="280">
        <f t="shared" si="8"/>
        <v>961.09189189189215</v>
      </c>
      <c r="K51" s="119" t="s">
        <v>380</v>
      </c>
      <c r="L51" s="281"/>
      <c r="M51" s="259"/>
    </row>
    <row r="52" spans="1:57" s="5" customFormat="1" ht="21" x14ac:dyDescent="0.4">
      <c r="A52" s="468"/>
      <c r="B52" s="287"/>
      <c r="C52" s="274"/>
      <c r="D52" s="270"/>
      <c r="E52" s="262"/>
      <c r="F52" s="276"/>
      <c r="G52" s="119"/>
      <c r="H52" s="277"/>
      <c r="I52" s="119"/>
      <c r="J52" s="237"/>
      <c r="K52" s="119"/>
      <c r="L52" s="267"/>
      <c r="M52" s="259"/>
    </row>
    <row r="53" spans="1:57" s="5" customFormat="1" ht="21" x14ac:dyDescent="0.4">
      <c r="A53" s="468"/>
      <c r="B53" s="1084" t="s">
        <v>139</v>
      </c>
      <c r="C53" s="1085"/>
      <c r="D53" s="270"/>
      <c r="E53" s="262"/>
      <c r="F53" s="276"/>
      <c r="G53" s="119"/>
      <c r="H53" s="277"/>
      <c r="I53" s="119"/>
      <c r="J53" s="237"/>
      <c r="K53" s="119"/>
      <c r="L53" s="267"/>
      <c r="M53" s="259"/>
      <c r="AE53"/>
      <c r="AF53"/>
      <c r="AG53"/>
      <c r="AH53"/>
      <c r="AI53"/>
      <c r="AJ53"/>
      <c r="AK53"/>
      <c r="AL53"/>
      <c r="AM53"/>
      <c r="AN53"/>
      <c r="AO53"/>
      <c r="AP53"/>
      <c r="AQ53"/>
      <c r="AR53"/>
      <c r="AS53"/>
      <c r="AT53"/>
      <c r="AU53"/>
      <c r="AV53"/>
      <c r="AW53"/>
      <c r="AX53"/>
      <c r="AY53"/>
      <c r="AZ53"/>
      <c r="BA53"/>
      <c r="BB53"/>
      <c r="BC53"/>
      <c r="BD53"/>
      <c r="BE53"/>
    </row>
    <row r="54" spans="1:57" s="5" customFormat="1" ht="21" x14ac:dyDescent="0.4">
      <c r="A54" s="468"/>
      <c r="B54" s="287"/>
      <c r="C54" s="274" t="s">
        <v>229</v>
      </c>
      <c r="D54" s="270"/>
      <c r="E54" s="262"/>
      <c r="F54" s="276">
        <f>IF('Gårdens info'!$D$13&gt;0,J54/'Gårdens info'!$D$13,0)</f>
        <v>0</v>
      </c>
      <c r="G54" s="119" t="s">
        <v>57</v>
      </c>
      <c r="H54" s="502">
        <f>IF('Gårdens info'!$G$13&gt;0,F54/'Gårdens info'!$G$13,0)</f>
        <v>0</v>
      </c>
      <c r="I54" s="119" t="s">
        <v>206</v>
      </c>
      <c r="J54" s="237">
        <f>Egendom!AM93</f>
        <v>0</v>
      </c>
      <c r="K54" s="119" t="s">
        <v>380</v>
      </c>
      <c r="L54" s="267"/>
      <c r="M54" s="259"/>
    </row>
    <row r="55" spans="1:57" s="5" customFormat="1" ht="19.95" customHeight="1" x14ac:dyDescent="0.4">
      <c r="A55" s="468"/>
      <c r="B55" s="287"/>
      <c r="C55" s="274" t="s">
        <v>230</v>
      </c>
      <c r="D55" s="270"/>
      <c r="E55" s="262"/>
      <c r="F55" s="276">
        <f>IF('Gårdens info'!$D$13&gt;0,J55/'Gårdens info'!$D$13,0)</f>
        <v>0</v>
      </c>
      <c r="G55" s="119" t="s">
        <v>57</v>
      </c>
      <c r="H55" s="502">
        <f>IF('Gårdens info'!$G$13&gt;0,F55/'Gårdens info'!$G$13,0)</f>
        <v>0</v>
      </c>
      <c r="I55" s="119" t="s">
        <v>206</v>
      </c>
      <c r="J55" s="237">
        <f>Egendom!BK93</f>
        <v>0</v>
      </c>
      <c r="K55" s="119" t="s">
        <v>380</v>
      </c>
      <c r="L55" s="267"/>
      <c r="M55" s="259"/>
    </row>
    <row r="56" spans="1:57" s="5" customFormat="1" ht="17.399999999999999" x14ac:dyDescent="0.3">
      <c r="A56" s="468"/>
      <c r="B56" s="287"/>
      <c r="C56" s="1083" t="s">
        <v>232</v>
      </c>
      <c r="D56" s="1083"/>
      <c r="E56" s="262"/>
      <c r="F56" s="276">
        <f>IF('Gårdens info'!$D$13&gt;0,J56/'Gårdens info'!$D$13,0)</f>
        <v>12.76595744680851</v>
      </c>
      <c r="G56" s="119" t="s">
        <v>57</v>
      </c>
      <c r="H56" s="502">
        <f>IF('Gårdens info'!$G$13&gt;0,F56/'Gårdens info'!$G$13,0)</f>
        <v>2.553191489361702E-4</v>
      </c>
      <c r="I56" s="119" t="s">
        <v>206</v>
      </c>
      <c r="J56" s="237">
        <f>Egendom!CI93</f>
        <v>127.65957446808511</v>
      </c>
      <c r="K56" s="119" t="s">
        <v>380</v>
      </c>
      <c r="L56" s="267"/>
      <c r="M56" s="259"/>
    </row>
    <row r="57" spans="1:57" s="5" customFormat="1" ht="15.6" x14ac:dyDescent="0.3">
      <c r="A57" s="468"/>
      <c r="B57" s="286"/>
      <c r="C57" s="261" t="s">
        <v>54</v>
      </c>
      <c r="D57" s="261"/>
      <c r="E57" s="261"/>
      <c r="F57" s="280">
        <f>SUM(F54:F56)</f>
        <v>12.76595744680851</v>
      </c>
      <c r="G57" s="119" t="s">
        <v>57</v>
      </c>
      <c r="H57" s="509">
        <f t="shared" ref="H57:J57" si="9">SUM(H54:H56)</f>
        <v>2.553191489361702E-4</v>
      </c>
      <c r="I57" s="119" t="s">
        <v>206</v>
      </c>
      <c r="J57" s="280">
        <f t="shared" si="9"/>
        <v>127.65957446808511</v>
      </c>
      <c r="K57" s="119" t="s">
        <v>380</v>
      </c>
      <c r="L57" s="284"/>
      <c r="M57" s="290"/>
    </row>
    <row r="58" spans="1:57" s="5" customFormat="1" ht="21" x14ac:dyDescent="0.4">
      <c r="A58" s="468"/>
      <c r="B58" s="1061" t="s">
        <v>191</v>
      </c>
      <c r="C58" s="1043"/>
      <c r="D58" s="1043"/>
      <c r="E58" s="262"/>
      <c r="F58" s="266">
        <f>F37+F44+F51+F57</f>
        <v>1421.2284914701936</v>
      </c>
      <c r="G58" s="267" t="s">
        <v>57</v>
      </c>
      <c r="H58" s="507">
        <f>H37+H44+H51+H57</f>
        <v>2.8424569829403876E-2</v>
      </c>
      <c r="I58" s="267" t="s">
        <v>206</v>
      </c>
      <c r="J58" s="269">
        <f>J37+J44+J51+J57</f>
        <v>14212.284914701937</v>
      </c>
      <c r="K58" s="267" t="s">
        <v>380</v>
      </c>
      <c r="L58" s="267"/>
      <c r="M58" s="259"/>
    </row>
    <row r="59" spans="1:57" s="5" customFormat="1" ht="15.6" x14ac:dyDescent="0.3">
      <c r="A59" s="468"/>
      <c r="B59" s="286"/>
      <c r="C59" s="262"/>
      <c r="D59" s="262"/>
      <c r="E59" s="262"/>
      <c r="F59" s="263"/>
      <c r="G59" s="243"/>
      <c r="H59" s="264"/>
      <c r="I59" s="243"/>
      <c r="J59" s="258"/>
      <c r="K59" s="243"/>
      <c r="L59" s="265"/>
      <c r="M59" s="259"/>
    </row>
    <row r="60" spans="1:57" s="5" customFormat="1" ht="21" x14ac:dyDescent="0.4">
      <c r="A60" s="468"/>
      <c r="B60" s="257" t="s">
        <v>192</v>
      </c>
      <c r="C60" s="262"/>
      <c r="D60" s="262"/>
      <c r="E60" s="262"/>
      <c r="F60" s="263"/>
      <c r="G60" s="243"/>
      <c r="H60" s="264"/>
      <c r="I60" s="243"/>
      <c r="J60" s="258"/>
      <c r="K60" s="243"/>
      <c r="L60" s="265"/>
      <c r="M60" s="259"/>
    </row>
    <row r="61" spans="1:57" s="5" customFormat="1" ht="15" x14ac:dyDescent="0.25">
      <c r="A61" s="468"/>
      <c r="B61" s="235"/>
      <c r="C61" s="228" t="s">
        <v>192</v>
      </c>
      <c r="D61" s="236"/>
      <c r="E61" s="236"/>
      <c r="F61" s="237">
        <f>IF('Gårdens info'!D13&gt;0,H181,0)</f>
        <v>2842</v>
      </c>
      <c r="G61" s="119" t="s">
        <v>57</v>
      </c>
      <c r="H61" s="503">
        <f>IF('Gårdens info'!G13&gt;0,F61/'Gårdens info'!$G$13,0)</f>
        <v>5.6840000000000002E-2</v>
      </c>
      <c r="I61" s="119" t="s">
        <v>206</v>
      </c>
      <c r="J61" s="237">
        <f>F61*'Gårdens info'!D13</f>
        <v>28420</v>
      </c>
      <c r="K61" s="119" t="s">
        <v>380</v>
      </c>
      <c r="L61" s="236"/>
      <c r="M61" s="239"/>
    </row>
    <row r="62" spans="1:57" s="5" customFormat="1" ht="17.399999999999999" x14ac:dyDescent="0.3">
      <c r="A62" s="468"/>
      <c r="B62" s="248"/>
      <c r="C62" s="245"/>
      <c r="D62" s="249"/>
      <c r="E62" s="249"/>
      <c r="F62" s="250"/>
      <c r="G62" s="120"/>
      <c r="H62" s="249"/>
      <c r="I62" s="249"/>
      <c r="J62" s="249"/>
      <c r="K62" s="249"/>
      <c r="L62" s="249"/>
      <c r="M62" s="234"/>
    </row>
    <row r="63" spans="1:57" s="5" customFormat="1" ht="21" x14ac:dyDescent="0.4">
      <c r="A63" s="468"/>
      <c r="B63" s="1061" t="s">
        <v>194</v>
      </c>
      <c r="C63" s="1043"/>
      <c r="D63" s="1043"/>
      <c r="E63" s="262"/>
      <c r="F63" s="266">
        <f>F61</f>
        <v>2842</v>
      </c>
      <c r="G63" s="267" t="s">
        <v>57</v>
      </c>
      <c r="H63" s="507">
        <f>H61</f>
        <v>5.6840000000000002E-2</v>
      </c>
      <c r="I63" s="267" t="s">
        <v>206</v>
      </c>
      <c r="J63" s="269">
        <f>J61</f>
        <v>28420</v>
      </c>
      <c r="K63" s="267" t="s">
        <v>380</v>
      </c>
      <c r="L63" s="267"/>
      <c r="M63" s="259"/>
    </row>
    <row r="64" spans="1:57" s="5" customFormat="1" ht="21" x14ac:dyDescent="0.4">
      <c r="A64" s="468"/>
      <c r="B64" s="288"/>
      <c r="C64" s="270"/>
      <c r="D64" s="270"/>
      <c r="E64" s="262"/>
      <c r="F64" s="266"/>
      <c r="G64" s="267"/>
      <c r="H64" s="507"/>
      <c r="I64" s="267"/>
      <c r="J64" s="269"/>
      <c r="K64" s="267"/>
      <c r="L64" s="267"/>
      <c r="M64" s="259"/>
    </row>
    <row r="65" spans="1:57" s="5" customFormat="1" ht="21" x14ac:dyDescent="0.4">
      <c r="A65" s="468"/>
      <c r="B65" s="1061" t="s">
        <v>195</v>
      </c>
      <c r="C65" s="1043"/>
      <c r="D65" s="1043"/>
      <c r="E65" s="262"/>
      <c r="F65" s="266">
        <f>F29+F58+F63</f>
        <v>12698.433739697144</v>
      </c>
      <c r="G65" s="267" t="s">
        <v>57</v>
      </c>
      <c r="H65" s="573">
        <f>H29+H58+H63</f>
        <v>0.25396867479394292</v>
      </c>
      <c r="I65" s="267" t="s">
        <v>206</v>
      </c>
      <c r="J65" s="266">
        <f>J29+J58+J63</f>
        <v>126984.33739697144</v>
      </c>
      <c r="K65" s="267" t="s">
        <v>380</v>
      </c>
      <c r="L65" s="267"/>
      <c r="M65" s="259"/>
    </row>
    <row r="66" spans="1:57" s="5" customFormat="1" ht="21" x14ac:dyDescent="0.4">
      <c r="A66" s="468"/>
      <c r="B66" s="288"/>
      <c r="C66" s="270"/>
      <c r="D66" s="270"/>
      <c r="E66" s="262"/>
      <c r="F66" s="266"/>
      <c r="G66" s="267"/>
      <c r="H66" s="268"/>
      <c r="I66" s="267"/>
      <c r="J66" s="269"/>
      <c r="K66" s="267"/>
      <c r="L66" s="267"/>
      <c r="M66" s="259"/>
    </row>
    <row r="67" spans="1:57" s="5" customFormat="1" ht="21.6" thickBot="1" x14ac:dyDescent="0.45">
      <c r="A67" s="468"/>
      <c r="B67" s="1059" t="s">
        <v>198</v>
      </c>
      <c r="C67" s="1060"/>
      <c r="D67" s="1060"/>
      <c r="E67" s="253"/>
      <c r="F67" s="292">
        <f>F12-F29-F58-F63</f>
        <v>25328.666260302856</v>
      </c>
      <c r="G67" s="293" t="s">
        <v>57</v>
      </c>
      <c r="H67" s="510">
        <f>H12-H29-H58-H63</f>
        <v>0.50657332520605702</v>
      </c>
      <c r="I67" s="293" t="s">
        <v>206</v>
      </c>
      <c r="J67" s="292">
        <f>J12-J29-J58-J63</f>
        <v>253286.66260302853</v>
      </c>
      <c r="K67" s="293" t="s">
        <v>380</v>
      </c>
      <c r="L67" s="293"/>
      <c r="M67" s="254"/>
    </row>
    <row r="68" spans="1:57" s="5" customFormat="1" ht="21" x14ac:dyDescent="0.4">
      <c r="A68" s="468"/>
      <c r="B68" s="55"/>
      <c r="C68"/>
      <c r="D68"/>
      <c r="E68"/>
      <c r="F68"/>
      <c r="G68"/>
      <c r="H68"/>
      <c r="I68"/>
      <c r="J68"/>
      <c r="K68"/>
      <c r="L68"/>
      <c r="M68"/>
    </row>
    <row r="69" spans="1:57" s="194" customFormat="1" ht="16.2" thickBot="1" x14ac:dyDescent="0.35">
      <c r="A69" s="472"/>
      <c r="B69"/>
      <c r="C69"/>
      <c r="D69"/>
      <c r="E69"/>
      <c r="F69"/>
      <c r="G69"/>
      <c r="H69"/>
      <c r="I69"/>
      <c r="J69"/>
      <c r="K69"/>
      <c r="L69"/>
      <c r="M69"/>
      <c r="N69" s="5"/>
      <c r="O69" s="5"/>
      <c r="P69" s="5"/>
      <c r="Q69" s="5"/>
      <c r="R69" s="5"/>
      <c r="S69" s="5"/>
      <c r="T69" s="5"/>
      <c r="U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row>
    <row r="70" spans="1:57" s="5" customFormat="1" ht="21.6" thickBot="1" x14ac:dyDescent="0.45">
      <c r="A70" s="468"/>
      <c r="B70" s="1078" t="s">
        <v>389</v>
      </c>
      <c r="C70" s="1079"/>
      <c r="D70" s="1079"/>
      <c r="E70" s="1080"/>
      <c r="F70"/>
      <c r="G70"/>
      <c r="H70"/>
      <c r="I70"/>
      <c r="J70"/>
      <c r="K70"/>
      <c r="L70" s="1099" t="s">
        <v>241</v>
      </c>
      <c r="M70" s="1099"/>
    </row>
    <row r="71" spans="1:57" s="5" customFormat="1" ht="21" x14ac:dyDescent="0.4">
      <c r="A71" s="468"/>
      <c r="B71" s="334"/>
      <c r="C71" s="334"/>
      <c r="D71" s="334"/>
      <c r="E71" s="334"/>
      <c r="F71" s="116"/>
      <c r="G71" s="116"/>
      <c r="H71" s="116"/>
      <c r="I71" s="116"/>
      <c r="J71" s="116"/>
      <c r="K71" s="116"/>
      <c r="L71" s="461"/>
      <c r="M71" s="461"/>
    </row>
    <row r="72" spans="1:57" ht="15.6" x14ac:dyDescent="0.3">
      <c r="B72" s="89" t="s">
        <v>390</v>
      </c>
      <c r="C72" s="44"/>
      <c r="D72" s="44"/>
      <c r="E72" s="44"/>
      <c r="F72" s="1077" t="s">
        <v>114</v>
      </c>
      <c r="G72" s="1077"/>
      <c r="H72" s="1077" t="s">
        <v>113</v>
      </c>
      <c r="I72" s="1077"/>
      <c r="J72" s="1077" t="s">
        <v>243</v>
      </c>
      <c r="K72" s="1077"/>
      <c r="L72" s="111" t="s">
        <v>244</v>
      </c>
      <c r="M72" s="46"/>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row>
    <row r="73" spans="1:57" ht="13.8" thickBot="1" x14ac:dyDescent="0.3">
      <c r="B73" s="48"/>
      <c r="C73" s="44"/>
      <c r="D73" s="44"/>
      <c r="E73" s="44"/>
      <c r="F73" s="44"/>
      <c r="G73" s="44"/>
      <c r="H73" s="44"/>
      <c r="I73" s="44"/>
      <c r="J73" s="46"/>
      <c r="K73" s="46"/>
      <c r="L73" s="46"/>
      <c r="M73" s="46"/>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row>
    <row r="74" spans="1:57" ht="13.8" thickBot="1" x14ac:dyDescent="0.3">
      <c r="B74" s="44"/>
      <c r="C74" s="45" t="s">
        <v>382</v>
      </c>
      <c r="D74" s="46"/>
      <c r="E74" s="44"/>
      <c r="F74" s="74">
        <v>30000</v>
      </c>
      <c r="G74" s="44" t="s">
        <v>357</v>
      </c>
      <c r="H74" s="74">
        <v>4.4999999999999998E-2</v>
      </c>
      <c r="I74" s="49" t="s">
        <v>246</v>
      </c>
      <c r="J74" s="191">
        <f>F74*H74</f>
        <v>1350</v>
      </c>
      <c r="K74" s="44" t="s">
        <v>57</v>
      </c>
      <c r="L74" s="44"/>
      <c r="M74" s="46"/>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row>
    <row r="75" spans="1:57" s="5" customFormat="1" ht="15.6" x14ac:dyDescent="0.3">
      <c r="A75" s="468"/>
      <c r="B75" s="50"/>
      <c r="C75" s="50" t="s">
        <v>54</v>
      </c>
      <c r="D75" s="466"/>
      <c r="E75" s="50"/>
      <c r="F75" s="218"/>
      <c r="G75" s="50"/>
      <c r="H75" s="467"/>
      <c r="I75" s="219"/>
      <c r="J75" s="220"/>
      <c r="K75" s="50"/>
      <c r="L75" s="50"/>
      <c r="M75" s="50"/>
      <c r="AE75" s="194"/>
      <c r="AF75" s="194"/>
      <c r="AG75" s="194"/>
      <c r="AH75" s="194"/>
      <c r="AI75" s="194"/>
      <c r="AJ75" s="194"/>
      <c r="AK75" s="194"/>
      <c r="AL75" s="194"/>
      <c r="AM75" s="194"/>
      <c r="AN75" s="194"/>
      <c r="AO75" s="194"/>
      <c r="AP75" s="194"/>
      <c r="AQ75" s="194"/>
      <c r="AR75" s="194"/>
      <c r="AS75" s="194"/>
      <c r="AT75" s="194"/>
      <c r="AU75" s="194"/>
      <c r="AV75" s="194"/>
      <c r="AW75" s="194"/>
      <c r="AX75" s="194"/>
      <c r="AY75" s="194"/>
      <c r="AZ75" s="194"/>
      <c r="BA75" s="194"/>
      <c r="BB75" s="194"/>
      <c r="BC75" s="194"/>
      <c r="BD75" s="194"/>
      <c r="BE75" s="194"/>
    </row>
    <row r="76" spans="1:57" x14ac:dyDescent="0.25">
      <c r="B76" s="435"/>
      <c r="C76" s="435"/>
      <c r="D76" s="464"/>
      <c r="E76" s="435"/>
      <c r="F76" s="465"/>
      <c r="G76" s="435"/>
      <c r="H76" s="246"/>
      <c r="I76" s="437"/>
      <c r="J76" s="232"/>
      <c r="K76" s="435"/>
      <c r="L76" s="116"/>
      <c r="M76" s="116"/>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row>
    <row r="77" spans="1:57" s="5" customFormat="1" ht="15.6" x14ac:dyDescent="0.3">
      <c r="A77" s="468"/>
      <c r="B77" s="96" t="s">
        <v>247</v>
      </c>
      <c r="C77" s="97"/>
      <c r="D77" s="97"/>
      <c r="E77" s="97"/>
      <c r="F77" s="1074" t="s">
        <v>114</v>
      </c>
      <c r="G77" s="1074"/>
      <c r="H77" s="1074" t="s">
        <v>113</v>
      </c>
      <c r="I77" s="1074"/>
      <c r="J77" s="1074" t="s">
        <v>243</v>
      </c>
      <c r="K77" s="1074"/>
      <c r="L77" s="99"/>
      <c r="M77" s="99"/>
    </row>
    <row r="78" spans="1:57" s="56" customFormat="1" ht="18" thickBot="1" x14ac:dyDescent="0.35">
      <c r="A78" s="469"/>
      <c r="B78" s="97"/>
      <c r="C78" s="97"/>
      <c r="D78" s="97"/>
      <c r="E78" s="97"/>
      <c r="F78" s="97"/>
      <c r="G78" s="97"/>
      <c r="H78" s="98"/>
      <c r="I78" s="98"/>
      <c r="J78" s="99"/>
      <c r="K78" s="99"/>
      <c r="L78" s="99"/>
      <c r="M78" s="99"/>
      <c r="N78" s="5"/>
      <c r="O78" s="5"/>
      <c r="P78" s="5"/>
      <c r="Q78" s="5"/>
      <c r="R78" s="5"/>
      <c r="S78" s="5"/>
      <c r="T78" s="5"/>
      <c r="U78" s="5"/>
      <c r="AE78"/>
      <c r="AF78"/>
      <c r="AG78"/>
      <c r="AH78"/>
      <c r="AI78"/>
      <c r="AJ78"/>
      <c r="AK78"/>
      <c r="AL78"/>
      <c r="AM78"/>
      <c r="AN78"/>
      <c r="AO78"/>
      <c r="AP78"/>
      <c r="AQ78"/>
      <c r="AR78"/>
      <c r="AS78"/>
      <c r="AT78"/>
      <c r="AU78"/>
      <c r="AV78"/>
      <c r="AW78"/>
      <c r="AX78"/>
      <c r="AY78"/>
      <c r="AZ78"/>
      <c r="BA78"/>
      <c r="BB78"/>
      <c r="BC78"/>
      <c r="BD78"/>
      <c r="BE78"/>
    </row>
    <row r="79" spans="1:57" s="69" customFormat="1" ht="15.6" thickBot="1" x14ac:dyDescent="0.3">
      <c r="A79" s="470"/>
      <c r="B79" s="97"/>
      <c r="C79" s="97" t="s">
        <v>391</v>
      </c>
      <c r="D79" s="99"/>
      <c r="E79" s="97"/>
      <c r="F79" s="94">
        <v>800</v>
      </c>
      <c r="G79" s="97" t="s">
        <v>212</v>
      </c>
      <c r="H79" s="77">
        <v>0.75</v>
      </c>
      <c r="I79" s="98" t="s">
        <v>206</v>
      </c>
      <c r="J79" s="100">
        <f>F79*H79</f>
        <v>600</v>
      </c>
      <c r="K79" s="97" t="s">
        <v>57</v>
      </c>
      <c r="L79" s="99"/>
      <c r="M79" s="99"/>
      <c r="N79" s="5"/>
      <c r="O79" s="5"/>
      <c r="P79" s="5"/>
      <c r="Q79" s="5"/>
      <c r="R79" s="5"/>
      <c r="S79" s="5"/>
      <c r="T79" s="5"/>
      <c r="U79" s="5"/>
      <c r="AE79"/>
      <c r="AF79"/>
      <c r="AG79"/>
      <c r="AH79"/>
      <c r="AI79"/>
      <c r="AJ79"/>
      <c r="AK79"/>
      <c r="AL79"/>
      <c r="AM79"/>
      <c r="AN79"/>
      <c r="AO79"/>
      <c r="AP79"/>
      <c r="AQ79"/>
      <c r="AR79"/>
      <c r="AS79"/>
      <c r="AT79"/>
      <c r="AU79"/>
      <c r="AV79"/>
      <c r="AW79"/>
      <c r="AX79"/>
      <c r="AY79"/>
      <c r="AZ79"/>
      <c r="BA79"/>
      <c r="BB79"/>
      <c r="BC79"/>
      <c r="BD79"/>
      <c r="BE79"/>
    </row>
    <row r="80" spans="1:57" s="56" customFormat="1" ht="18" thickBot="1" x14ac:dyDescent="0.35">
      <c r="A80" s="469"/>
      <c r="B80" s="97"/>
      <c r="C80" s="97" t="s">
        <v>360</v>
      </c>
      <c r="D80" s="99"/>
      <c r="E80" s="97"/>
      <c r="F80" s="74">
        <v>500</v>
      </c>
      <c r="G80" s="97" t="s">
        <v>212</v>
      </c>
      <c r="H80" s="77">
        <v>0.4</v>
      </c>
      <c r="I80" s="98" t="s">
        <v>206</v>
      </c>
      <c r="J80" s="100">
        <f t="shared" ref="J80:J83" si="10">F80*H80</f>
        <v>200</v>
      </c>
      <c r="K80" s="97" t="s">
        <v>57</v>
      </c>
      <c r="L80" s="99"/>
      <c r="M80" s="99"/>
      <c r="N80" s="69"/>
      <c r="O80" s="69"/>
      <c r="P80" s="69"/>
      <c r="Q80" s="69"/>
      <c r="R80" s="69"/>
      <c r="S80" s="69"/>
      <c r="T80" s="69"/>
      <c r="U80" s="69"/>
      <c r="AE80"/>
      <c r="AF80"/>
      <c r="AG80"/>
      <c r="AH80"/>
      <c r="AI80"/>
      <c r="AJ80"/>
      <c r="AK80"/>
      <c r="AL80"/>
      <c r="AM80"/>
      <c r="AN80"/>
      <c r="AO80"/>
      <c r="AP80"/>
      <c r="AQ80"/>
      <c r="AR80"/>
      <c r="AS80"/>
      <c r="AT80"/>
      <c r="AU80"/>
      <c r="AV80"/>
      <c r="AW80"/>
      <c r="AX80"/>
      <c r="AY80"/>
      <c r="AZ80"/>
      <c r="BA80"/>
      <c r="BB80"/>
      <c r="BC80"/>
      <c r="BD80"/>
      <c r="BE80"/>
    </row>
    <row r="81" spans="1:57" s="69" customFormat="1" ht="15.6" thickBot="1" x14ac:dyDescent="0.3">
      <c r="A81" s="470"/>
      <c r="B81" s="97"/>
      <c r="C81" s="97" t="s">
        <v>361</v>
      </c>
      <c r="D81" s="99"/>
      <c r="E81" s="97"/>
      <c r="F81" s="74">
        <v>2000</v>
      </c>
      <c r="G81" s="97" t="s">
        <v>212</v>
      </c>
      <c r="H81" s="77">
        <v>0.46</v>
      </c>
      <c r="I81" s="98" t="s">
        <v>206</v>
      </c>
      <c r="J81" s="100">
        <f t="shared" si="10"/>
        <v>920</v>
      </c>
      <c r="K81" s="97" t="s">
        <v>57</v>
      </c>
      <c r="L81" s="99"/>
      <c r="M81" s="99"/>
      <c r="N81" s="5"/>
      <c r="O81" s="5"/>
      <c r="P81" s="5"/>
      <c r="Q81" s="5"/>
      <c r="R81" s="5"/>
      <c r="S81" s="5"/>
      <c r="T81" s="5"/>
      <c r="U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row>
    <row r="82" spans="1:57" s="56" customFormat="1" ht="18" thickBot="1" x14ac:dyDescent="0.35">
      <c r="A82" s="469"/>
      <c r="B82" s="97"/>
      <c r="C82" s="97" t="s">
        <v>251</v>
      </c>
      <c r="D82" s="97"/>
      <c r="E82" s="97"/>
      <c r="F82" s="74"/>
      <c r="G82" s="97" t="s">
        <v>212</v>
      </c>
      <c r="H82" s="77"/>
      <c r="I82" s="98" t="s">
        <v>206</v>
      </c>
      <c r="J82" s="100">
        <f t="shared" si="10"/>
        <v>0</v>
      </c>
      <c r="K82" s="97" t="s">
        <v>57</v>
      </c>
      <c r="L82" s="99"/>
      <c r="M82" s="99"/>
      <c r="AE82"/>
      <c r="AF82"/>
      <c r="AG82"/>
      <c r="AH82"/>
      <c r="AI82"/>
      <c r="AJ82"/>
      <c r="AK82"/>
      <c r="AL82"/>
      <c r="AM82"/>
      <c r="AN82"/>
      <c r="AO82"/>
      <c r="AP82"/>
      <c r="AQ82"/>
      <c r="AR82"/>
      <c r="AS82"/>
      <c r="AT82"/>
      <c r="AU82"/>
      <c r="AV82"/>
      <c r="AW82"/>
      <c r="AX82"/>
      <c r="AY82"/>
      <c r="AZ82"/>
      <c r="BA82"/>
      <c r="BB82"/>
      <c r="BC82"/>
      <c r="BD82"/>
      <c r="BE82"/>
    </row>
    <row r="83" spans="1:57" ht="15.6" thickBot="1" x14ac:dyDescent="0.3">
      <c r="B83" s="97"/>
      <c r="C83" s="97" t="s">
        <v>251</v>
      </c>
      <c r="D83" s="97"/>
      <c r="E83" s="97"/>
      <c r="F83" s="74"/>
      <c r="G83" s="97" t="s">
        <v>212</v>
      </c>
      <c r="H83" s="77"/>
      <c r="I83" s="98" t="s">
        <v>206</v>
      </c>
      <c r="J83" s="100">
        <f t="shared" si="10"/>
        <v>0</v>
      </c>
      <c r="K83" s="97" t="s">
        <v>57</v>
      </c>
      <c r="L83" s="99"/>
      <c r="M83" s="99"/>
      <c r="N83" s="69"/>
      <c r="O83" s="69"/>
      <c r="P83" s="69"/>
      <c r="Q83" s="69"/>
      <c r="R83" s="69"/>
      <c r="S83" s="69"/>
      <c r="T83" s="69"/>
      <c r="U83" s="69"/>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row>
    <row r="84" spans="1:57" s="69" customFormat="1" ht="17.399999999999999" x14ac:dyDescent="0.3">
      <c r="A84" s="470"/>
      <c r="B84" s="214"/>
      <c r="C84" s="214" t="s">
        <v>54</v>
      </c>
      <c r="D84" s="214"/>
      <c r="E84" s="214"/>
      <c r="F84" s="214"/>
      <c r="G84" s="214"/>
      <c r="H84" s="214"/>
      <c r="I84" s="215"/>
      <c r="J84" s="216">
        <f>SUM(J79:J83)</f>
        <v>1720</v>
      </c>
      <c r="K84" s="214" t="s">
        <v>57</v>
      </c>
      <c r="L84" s="214"/>
      <c r="M84" s="214"/>
      <c r="N84" s="56"/>
      <c r="O84" s="56"/>
      <c r="P84" s="56"/>
      <c r="Q84" s="56"/>
      <c r="R84" s="56"/>
      <c r="S84" s="56"/>
      <c r="T84" s="56"/>
      <c r="U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row>
    <row r="85" spans="1:57" s="5" customFormat="1" ht="15" x14ac:dyDescent="0.25">
      <c r="A85" s="468"/>
      <c r="B85" s="97"/>
      <c r="C85" s="97"/>
      <c r="D85" s="97"/>
      <c r="E85" s="97"/>
      <c r="F85" s="97"/>
      <c r="G85" s="97"/>
      <c r="H85" s="97"/>
      <c r="I85" s="98"/>
      <c r="J85" s="100"/>
      <c r="K85" s="97"/>
      <c r="L85" s="99"/>
      <c r="M85" s="99"/>
      <c r="N85"/>
      <c r="O85"/>
      <c r="P85"/>
      <c r="Q85"/>
      <c r="R85"/>
      <c r="S85"/>
      <c r="T85"/>
      <c r="U85"/>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row>
    <row r="86" spans="1:57" s="5" customFormat="1" ht="17.399999999999999" x14ac:dyDescent="0.3">
      <c r="A86" s="468"/>
      <c r="B86"/>
      <c r="C86"/>
      <c r="D86"/>
      <c r="E86"/>
      <c r="F86"/>
      <c r="G86"/>
      <c r="H86"/>
      <c r="I86"/>
      <c r="J86"/>
      <c r="K86"/>
      <c r="L86"/>
      <c r="M86"/>
      <c r="N86" s="69"/>
      <c r="O86" s="69"/>
      <c r="P86" s="69"/>
      <c r="Q86" s="69"/>
      <c r="R86" s="69"/>
      <c r="S86" s="69"/>
      <c r="T86" s="69"/>
      <c r="U86" s="69"/>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row>
    <row r="87" spans="1:57" s="5" customFormat="1" ht="15.6" x14ac:dyDescent="0.3">
      <c r="A87" s="468"/>
      <c r="B87" s="85" t="s">
        <v>252</v>
      </c>
      <c r="C87" s="51"/>
      <c r="D87" s="51"/>
      <c r="E87" s="51"/>
      <c r="F87" s="1075" t="s">
        <v>114</v>
      </c>
      <c r="G87" s="1075"/>
      <c r="H87" s="1076" t="s">
        <v>113</v>
      </c>
      <c r="I87" s="1076"/>
      <c r="J87" s="1075" t="s">
        <v>243</v>
      </c>
      <c r="K87" s="1075"/>
      <c r="L87" s="58"/>
      <c r="M87" s="58"/>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row>
    <row r="88" spans="1:57" ht="17.399999999999999" x14ac:dyDescent="0.3">
      <c r="B88" s="51"/>
      <c r="C88" s="51"/>
      <c r="D88" s="51"/>
      <c r="E88" s="51"/>
      <c r="F88" s="53"/>
      <c r="G88" s="53"/>
      <c r="H88" s="52"/>
      <c r="I88" s="52"/>
      <c r="J88" s="52"/>
      <c r="K88" s="58"/>
      <c r="L88" s="58"/>
      <c r="M88" s="58"/>
      <c r="N88" s="5"/>
      <c r="O88" s="5"/>
      <c r="P88" s="5"/>
      <c r="Q88" s="5"/>
      <c r="R88" s="5"/>
      <c r="S88" s="5"/>
      <c r="T88" s="5"/>
      <c r="U88" s="5"/>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row>
    <row r="89" spans="1:57" ht="15.6" x14ac:dyDescent="0.3">
      <c r="B89" s="85"/>
      <c r="C89" s="51"/>
      <c r="D89" s="387" t="s">
        <v>253</v>
      </c>
      <c r="E89" s="51"/>
      <c r="F89" s="59"/>
      <c r="G89" s="59"/>
      <c r="H89" s="60"/>
      <c r="I89" s="60"/>
      <c r="J89" s="59"/>
      <c r="K89" s="59"/>
      <c r="L89" s="58"/>
      <c r="M89" s="58"/>
    </row>
    <row r="90" spans="1:57" ht="15.6" thickBot="1" x14ac:dyDescent="0.3">
      <c r="B90" s="171" t="s">
        <v>254</v>
      </c>
      <c r="C90" s="51"/>
      <c r="D90" s="51"/>
      <c r="E90" s="51"/>
      <c r="F90" s="53"/>
      <c r="G90" s="53"/>
      <c r="H90" s="52"/>
      <c r="I90" s="52"/>
      <c r="J90" s="58"/>
      <c r="K90" s="58"/>
      <c r="L90" s="58"/>
      <c r="M90" s="58"/>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row>
    <row r="91" spans="1:57" ht="13.8" thickBot="1" x14ac:dyDescent="0.3">
      <c r="B91" s="51"/>
      <c r="C91" s="51" t="s">
        <v>392</v>
      </c>
      <c r="D91" s="58"/>
      <c r="E91" s="51"/>
      <c r="F91" s="95">
        <v>2</v>
      </c>
      <c r="G91" s="53" t="s">
        <v>256</v>
      </c>
      <c r="H91" s="77">
        <v>18.8</v>
      </c>
      <c r="I91" s="52" t="s">
        <v>257</v>
      </c>
      <c r="J91" s="58">
        <f>F91*H91</f>
        <v>37.6</v>
      </c>
      <c r="K91" s="51" t="s">
        <v>57</v>
      </c>
      <c r="L91" s="58"/>
      <c r="M91" s="58"/>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row>
    <row r="92" spans="1:57" ht="13.8" thickBot="1" x14ac:dyDescent="0.3">
      <c r="B92" s="51"/>
      <c r="C92" s="51" t="s">
        <v>393</v>
      </c>
      <c r="D92" s="58"/>
      <c r="E92" s="51"/>
      <c r="F92" s="77">
        <v>2</v>
      </c>
      <c r="G92" s="53" t="s">
        <v>212</v>
      </c>
      <c r="H92" s="77">
        <v>295</v>
      </c>
      <c r="I92" s="52" t="s">
        <v>206</v>
      </c>
      <c r="J92" s="58">
        <f t="shared" ref="J92:J96" si="11">F92*H92</f>
        <v>590</v>
      </c>
      <c r="K92" s="51" t="s">
        <v>57</v>
      </c>
      <c r="L92" s="58"/>
      <c r="M92" s="58"/>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row>
    <row r="93" spans="1:57" ht="13.8" thickBot="1" x14ac:dyDescent="0.3">
      <c r="B93" s="51"/>
      <c r="C93" s="51" t="s">
        <v>394</v>
      </c>
      <c r="D93" s="58"/>
      <c r="E93" s="51"/>
      <c r="F93" s="95">
        <v>1.5</v>
      </c>
      <c r="G93" s="53" t="s">
        <v>256</v>
      </c>
      <c r="H93" s="77">
        <v>52</v>
      </c>
      <c r="I93" s="52" t="s">
        <v>257</v>
      </c>
      <c r="J93" s="58">
        <f t="shared" si="11"/>
        <v>78</v>
      </c>
      <c r="K93" s="51" t="s">
        <v>57</v>
      </c>
      <c r="L93" s="58"/>
      <c r="M93" s="58"/>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row>
    <row r="94" spans="1:57" ht="13.8" thickBot="1" x14ac:dyDescent="0.3">
      <c r="B94" s="51"/>
      <c r="C94" s="51" t="s">
        <v>395</v>
      </c>
      <c r="D94" s="58"/>
      <c r="E94" s="51"/>
      <c r="F94" s="95">
        <v>1.5</v>
      </c>
      <c r="G94" s="53" t="s">
        <v>256</v>
      </c>
      <c r="H94" s="77">
        <v>63</v>
      </c>
      <c r="I94" s="52" t="s">
        <v>257</v>
      </c>
      <c r="J94" s="58">
        <f t="shared" si="11"/>
        <v>94.5</v>
      </c>
      <c r="K94" s="51" t="s">
        <v>57</v>
      </c>
      <c r="L94" s="58"/>
      <c r="M94" s="58"/>
    </row>
    <row r="95" spans="1:57" ht="13.8" thickBot="1" x14ac:dyDescent="0.3">
      <c r="B95" s="51"/>
      <c r="C95" s="51" t="s">
        <v>265</v>
      </c>
      <c r="D95" s="51"/>
      <c r="E95" s="51"/>
      <c r="F95" s="95"/>
      <c r="G95" s="53" t="s">
        <v>256</v>
      </c>
      <c r="H95" s="77"/>
      <c r="I95" s="52" t="s">
        <v>257</v>
      </c>
      <c r="J95" s="58">
        <f t="shared" si="11"/>
        <v>0</v>
      </c>
      <c r="K95" s="51" t="s">
        <v>57</v>
      </c>
      <c r="L95" s="58"/>
      <c r="M95" s="58"/>
    </row>
    <row r="96" spans="1:57" ht="13.8" thickBot="1" x14ac:dyDescent="0.3">
      <c r="B96" s="51"/>
      <c r="C96" s="51" t="s">
        <v>265</v>
      </c>
      <c r="D96" s="51"/>
      <c r="E96" s="51"/>
      <c r="F96" s="95"/>
      <c r="G96" s="53" t="s">
        <v>256</v>
      </c>
      <c r="H96" s="77"/>
      <c r="I96" s="52" t="s">
        <v>257</v>
      </c>
      <c r="J96" s="58">
        <f t="shared" si="11"/>
        <v>0</v>
      </c>
      <c r="K96" s="51" t="s">
        <v>57</v>
      </c>
      <c r="L96" s="58"/>
      <c r="M96" s="58"/>
    </row>
    <row r="97" spans="1:57" x14ac:dyDescent="0.25">
      <c r="B97" s="51"/>
      <c r="C97" s="51"/>
      <c r="D97" s="51"/>
      <c r="E97" s="51"/>
      <c r="F97" s="53"/>
      <c r="G97" s="53"/>
      <c r="H97" s="52"/>
      <c r="I97" s="52"/>
      <c r="J97" s="58"/>
      <c r="K97" s="51"/>
      <c r="L97" s="58"/>
      <c r="M97" s="58"/>
    </row>
    <row r="98" spans="1:57" ht="13.8" thickBot="1" x14ac:dyDescent="0.3">
      <c r="B98" s="171" t="s">
        <v>266</v>
      </c>
      <c r="C98" s="51"/>
      <c r="D98" s="51"/>
      <c r="E98" s="51"/>
      <c r="F98" s="53"/>
      <c r="G98" s="53"/>
      <c r="H98" s="52"/>
      <c r="I98" s="52"/>
      <c r="J98" s="58"/>
      <c r="K98" s="51"/>
      <c r="L98" s="58"/>
      <c r="M98" s="58"/>
    </row>
    <row r="99" spans="1:57" ht="13.8" thickBot="1" x14ac:dyDescent="0.3">
      <c r="B99" s="51"/>
      <c r="C99" s="51" t="s">
        <v>267</v>
      </c>
      <c r="D99" s="51"/>
      <c r="E99" s="51"/>
      <c r="F99" s="95"/>
      <c r="G99" s="53" t="s">
        <v>256</v>
      </c>
      <c r="H99" s="95"/>
      <c r="I99" s="52" t="s">
        <v>257</v>
      </c>
      <c r="J99" s="58">
        <f t="shared" ref="J99:J102" si="12">F99*H99</f>
        <v>0</v>
      </c>
      <c r="K99" s="51" t="s">
        <v>57</v>
      </c>
      <c r="L99" s="58"/>
      <c r="M99" s="58"/>
    </row>
    <row r="100" spans="1:57" ht="13.8" thickBot="1" x14ac:dyDescent="0.3">
      <c r="B100" s="51"/>
      <c r="C100" s="51" t="s">
        <v>267</v>
      </c>
      <c r="D100" s="51"/>
      <c r="E100" s="51"/>
      <c r="F100" s="95"/>
      <c r="G100" s="53" t="s">
        <v>256</v>
      </c>
      <c r="H100" s="95"/>
      <c r="I100" s="52" t="s">
        <v>257</v>
      </c>
      <c r="J100" s="58">
        <f t="shared" si="12"/>
        <v>0</v>
      </c>
      <c r="K100" s="51" t="s">
        <v>57</v>
      </c>
      <c r="L100" s="58"/>
      <c r="M100" s="58"/>
    </row>
    <row r="101" spans="1:57" ht="13.8" thickBot="1" x14ac:dyDescent="0.3">
      <c r="B101" s="51"/>
      <c r="C101" s="51" t="s">
        <v>267</v>
      </c>
      <c r="D101" s="51"/>
      <c r="E101" s="51"/>
      <c r="F101" s="95"/>
      <c r="G101" s="53" t="s">
        <v>256</v>
      </c>
      <c r="H101" s="95"/>
      <c r="I101" s="52" t="s">
        <v>257</v>
      </c>
      <c r="J101" s="58">
        <f t="shared" si="12"/>
        <v>0</v>
      </c>
      <c r="K101" s="51" t="s">
        <v>57</v>
      </c>
      <c r="L101" s="58"/>
      <c r="M101" s="58"/>
    </row>
    <row r="102" spans="1:57" ht="13.8" thickBot="1" x14ac:dyDescent="0.3">
      <c r="B102" s="51"/>
      <c r="C102" s="51" t="s">
        <v>267</v>
      </c>
      <c r="D102" s="51"/>
      <c r="E102" s="51"/>
      <c r="F102" s="95"/>
      <c r="G102" s="53" t="s">
        <v>256</v>
      </c>
      <c r="H102" s="95"/>
      <c r="I102" s="52" t="s">
        <v>257</v>
      </c>
      <c r="J102" s="58">
        <f t="shared" si="12"/>
        <v>0</v>
      </c>
      <c r="K102" s="51" t="s">
        <v>57</v>
      </c>
      <c r="L102" s="58"/>
      <c r="M102" s="58"/>
    </row>
    <row r="103" spans="1:57" s="5" customFormat="1" x14ac:dyDescent="0.25">
      <c r="A103" s="468"/>
      <c r="B103" s="195"/>
      <c r="C103" s="195" t="s">
        <v>54</v>
      </c>
      <c r="D103" s="195"/>
      <c r="E103" s="195"/>
      <c r="F103" s="196"/>
      <c r="G103" s="196"/>
      <c r="H103" s="196"/>
      <c r="I103" s="197"/>
      <c r="J103" s="197">
        <f>SUM(J91:J102)</f>
        <v>800.1</v>
      </c>
      <c r="K103" s="195" t="s">
        <v>57</v>
      </c>
      <c r="L103" s="195"/>
      <c r="M103" s="195"/>
      <c r="AE103"/>
      <c r="AF103"/>
      <c r="AG103"/>
      <c r="AH103"/>
      <c r="AI103"/>
      <c r="AJ103"/>
      <c r="AK103"/>
      <c r="AL103"/>
      <c r="AM103"/>
      <c r="AN103"/>
      <c r="AO103"/>
      <c r="AP103"/>
      <c r="AQ103"/>
      <c r="AR103"/>
      <c r="AS103"/>
      <c r="AT103"/>
      <c r="AU103"/>
      <c r="AV103"/>
      <c r="AW103"/>
      <c r="AX103"/>
      <c r="AY103"/>
      <c r="AZ103"/>
      <c r="BA103"/>
      <c r="BB103"/>
      <c r="BC103"/>
      <c r="BD103"/>
      <c r="BE103"/>
    </row>
    <row r="104" spans="1:57" x14ac:dyDescent="0.25">
      <c r="B104" s="51"/>
      <c r="C104" s="51"/>
      <c r="D104" s="51"/>
      <c r="E104" s="51"/>
      <c r="F104" s="53"/>
      <c r="G104" s="53"/>
      <c r="H104" s="52"/>
      <c r="I104" s="52"/>
      <c r="J104" s="58"/>
      <c r="K104" s="51"/>
      <c r="L104" s="58"/>
      <c r="M104" s="58"/>
    </row>
    <row r="105" spans="1:57" x14ac:dyDescent="0.25">
      <c r="A105" s="473"/>
    </row>
    <row r="106" spans="1:57" ht="15.6" x14ac:dyDescent="0.3">
      <c r="A106" s="473"/>
      <c r="B106" s="86" t="s">
        <v>367</v>
      </c>
      <c r="C106" s="61"/>
      <c r="D106" s="61"/>
      <c r="E106" s="61"/>
      <c r="F106" s="1071" t="s">
        <v>114</v>
      </c>
      <c r="G106" s="1071"/>
      <c r="H106" s="1071" t="s">
        <v>113</v>
      </c>
      <c r="I106" s="1071"/>
      <c r="J106" s="1071" t="s">
        <v>243</v>
      </c>
      <c r="K106" s="1071"/>
      <c r="L106" s="63"/>
      <c r="M106" s="63"/>
    </row>
    <row r="107" spans="1:57" ht="13.8" thickBot="1" x14ac:dyDescent="0.3">
      <c r="A107" s="473"/>
      <c r="B107" s="61"/>
      <c r="C107" s="61"/>
      <c r="D107" s="61"/>
      <c r="E107" s="61"/>
      <c r="F107" s="61"/>
      <c r="G107" s="61"/>
      <c r="H107" s="62"/>
      <c r="I107" s="62"/>
      <c r="J107" s="63"/>
      <c r="K107" s="63"/>
      <c r="L107" s="63"/>
      <c r="M107" s="63"/>
    </row>
    <row r="108" spans="1:57" ht="13.8" thickBot="1" x14ac:dyDescent="0.3">
      <c r="A108" s="473"/>
      <c r="B108" s="61"/>
      <c r="C108" s="61" t="s">
        <v>368</v>
      </c>
      <c r="D108" s="63"/>
      <c r="E108" s="61"/>
      <c r="F108" s="388">
        <f>S11*'Gårdens info'!$G$13/1</f>
        <v>0</v>
      </c>
      <c r="G108" s="61" t="s">
        <v>31</v>
      </c>
      <c r="H108" s="77">
        <v>0.01</v>
      </c>
      <c r="I108" s="62" t="s">
        <v>246</v>
      </c>
      <c r="J108" s="64">
        <f>F108*H108</f>
        <v>0</v>
      </c>
      <c r="K108" s="61" t="s">
        <v>57</v>
      </c>
      <c r="L108" s="63"/>
      <c r="M108" s="63"/>
    </row>
    <row r="109" spans="1:57" ht="13.8" thickBot="1" x14ac:dyDescent="0.3">
      <c r="A109" s="473"/>
      <c r="B109" s="61"/>
      <c r="C109" s="61" t="s">
        <v>369</v>
      </c>
      <c r="D109" s="63"/>
      <c r="E109" s="61"/>
      <c r="F109" s="388">
        <f>S12*'Gårdens info'!$G$13/1</f>
        <v>0</v>
      </c>
      <c r="G109" s="61" t="s">
        <v>31</v>
      </c>
      <c r="H109" s="77">
        <v>0.01</v>
      </c>
      <c r="I109" s="62" t="s">
        <v>246</v>
      </c>
      <c r="J109" s="64">
        <f t="shared" ref="J109:J115" si="13">F109*H109</f>
        <v>0</v>
      </c>
      <c r="K109" s="61" t="s">
        <v>57</v>
      </c>
      <c r="L109" s="63"/>
      <c r="M109" s="63"/>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row>
    <row r="110" spans="1:57" ht="13.8" thickBot="1" x14ac:dyDescent="0.3">
      <c r="A110" s="473"/>
      <c r="B110" s="61"/>
      <c r="C110" s="61" t="s">
        <v>270</v>
      </c>
      <c r="D110" s="63"/>
      <c r="E110" s="61"/>
      <c r="F110" s="388">
        <f>S13*'Gårdens info'!$G$13/1</f>
        <v>0</v>
      </c>
      <c r="G110" s="61" t="s">
        <v>31</v>
      </c>
      <c r="H110" s="77">
        <v>0.01</v>
      </c>
      <c r="I110" s="62" t="s">
        <v>246</v>
      </c>
      <c r="J110" s="64">
        <f t="shared" si="13"/>
        <v>0</v>
      </c>
      <c r="K110" s="61" t="s">
        <v>57</v>
      </c>
      <c r="L110" s="63"/>
      <c r="M110" s="63"/>
    </row>
    <row r="111" spans="1:57" ht="13.8" thickBot="1" x14ac:dyDescent="0.3">
      <c r="A111" s="473"/>
      <c r="B111" s="61"/>
      <c r="C111" s="61" t="s">
        <v>271</v>
      </c>
      <c r="D111" s="63"/>
      <c r="E111" s="61"/>
      <c r="F111" s="388">
        <f>S14*'Gårdens info'!$G$13/1</f>
        <v>25000</v>
      </c>
      <c r="G111" s="61" t="s">
        <v>31</v>
      </c>
      <c r="H111" s="77">
        <v>0.03</v>
      </c>
      <c r="I111" s="62" t="s">
        <v>246</v>
      </c>
      <c r="J111" s="64">
        <f t="shared" si="13"/>
        <v>750</v>
      </c>
      <c r="K111" s="61" t="s">
        <v>57</v>
      </c>
      <c r="L111" s="63"/>
      <c r="M111" s="63"/>
    </row>
    <row r="112" spans="1:57" ht="13.8" thickBot="1" x14ac:dyDescent="0.3">
      <c r="A112" s="473"/>
      <c r="B112" s="61"/>
      <c r="C112" s="77" t="s">
        <v>396</v>
      </c>
      <c r="D112" s="77">
        <v>300</v>
      </c>
      <c r="E112" s="61" t="s">
        <v>212</v>
      </c>
      <c r="F112" s="388">
        <f>IF(S15&gt;0,(S15*'Gårdens info'!$G$13/D112),0)</f>
        <v>83.333333333333329</v>
      </c>
      <c r="G112" s="61" t="s">
        <v>31</v>
      </c>
      <c r="H112" s="77">
        <v>1</v>
      </c>
      <c r="I112" s="62" t="s">
        <v>246</v>
      </c>
      <c r="J112" s="64">
        <f t="shared" ref="J112:J113" si="14">F112*H112</f>
        <v>83.333333333333329</v>
      </c>
      <c r="K112" s="61" t="s">
        <v>57</v>
      </c>
      <c r="L112" s="63"/>
      <c r="M112" s="63"/>
    </row>
    <row r="113" spans="1:57" ht="13.8" thickBot="1" x14ac:dyDescent="0.3">
      <c r="A113" s="473"/>
      <c r="B113" s="61"/>
      <c r="C113" s="77" t="s">
        <v>272</v>
      </c>
      <c r="D113" s="77"/>
      <c r="E113" s="61" t="s">
        <v>212</v>
      </c>
      <c r="F113" s="388">
        <f>IF(S16&gt;0,(S16*'Gårdens info'!$G$13/D113),0)</f>
        <v>0</v>
      </c>
      <c r="G113" s="61" t="s">
        <v>31</v>
      </c>
      <c r="H113" s="77"/>
      <c r="I113" s="62" t="s">
        <v>246</v>
      </c>
      <c r="J113" s="64">
        <f t="shared" si="14"/>
        <v>0</v>
      </c>
      <c r="K113" s="61" t="s">
        <v>57</v>
      </c>
      <c r="L113" s="63"/>
      <c r="M113" s="63"/>
    </row>
    <row r="114" spans="1:57" ht="13.8" thickBot="1" x14ac:dyDescent="0.3">
      <c r="A114" s="473"/>
      <c r="B114" s="61"/>
      <c r="C114" s="77" t="s">
        <v>272</v>
      </c>
      <c r="D114" s="77"/>
      <c r="E114" s="61" t="s">
        <v>212</v>
      </c>
      <c r="F114" s="388">
        <f>IF(S17&gt;0,(S17*'Gårdens info'!$G$13/D114),0)</f>
        <v>0</v>
      </c>
      <c r="G114" s="61" t="s">
        <v>31</v>
      </c>
      <c r="H114" s="77"/>
      <c r="I114" s="62" t="s">
        <v>246</v>
      </c>
      <c r="J114" s="64">
        <f t="shared" si="13"/>
        <v>0</v>
      </c>
      <c r="K114" s="61" t="s">
        <v>57</v>
      </c>
      <c r="L114" s="63"/>
      <c r="M114" s="63"/>
    </row>
    <row r="115" spans="1:57" ht="13.8" thickBot="1" x14ac:dyDescent="0.3">
      <c r="A115" s="473"/>
      <c r="B115" s="61"/>
      <c r="C115" s="77" t="s">
        <v>272</v>
      </c>
      <c r="D115" s="77"/>
      <c r="E115" s="61" t="s">
        <v>212</v>
      </c>
      <c r="F115" s="388">
        <f>IF(S18&gt;0,(S18*'Gårdens info'!$G$13/D115),0)</f>
        <v>0</v>
      </c>
      <c r="G115" s="61" t="s">
        <v>31</v>
      </c>
      <c r="H115" s="77"/>
      <c r="I115" s="62" t="s">
        <v>246</v>
      </c>
      <c r="J115" s="64">
        <f t="shared" si="13"/>
        <v>0</v>
      </c>
      <c r="K115" s="61" t="s">
        <v>57</v>
      </c>
      <c r="L115" s="63"/>
      <c r="M115" s="63"/>
    </row>
    <row r="116" spans="1:57" x14ac:dyDescent="0.25">
      <c r="A116" s="473"/>
      <c r="B116" s="198"/>
      <c r="C116" s="198" t="s">
        <v>54</v>
      </c>
      <c r="D116" s="198"/>
      <c r="E116" s="198"/>
      <c r="F116" s="198"/>
      <c r="G116" s="198"/>
      <c r="H116" s="199"/>
      <c r="I116" s="199"/>
      <c r="J116" s="200">
        <f>SUM(J108:J115)</f>
        <v>833.33333333333337</v>
      </c>
      <c r="K116" s="198" t="s">
        <v>57</v>
      </c>
      <c r="L116" s="198"/>
      <c r="M116" s="198"/>
    </row>
    <row r="117" spans="1:57" x14ac:dyDescent="0.25">
      <c r="A117" s="473"/>
      <c r="B117" s="61"/>
      <c r="C117" s="61"/>
      <c r="D117" s="61"/>
      <c r="E117" s="61"/>
      <c r="F117" s="61"/>
      <c r="G117" s="61"/>
      <c r="H117" s="62"/>
      <c r="I117" s="62"/>
      <c r="J117" s="64"/>
      <c r="K117" s="61"/>
      <c r="L117" s="63"/>
      <c r="M117" s="63"/>
    </row>
    <row r="118" spans="1:57" x14ac:dyDescent="0.25">
      <c r="A118" s="473"/>
    </row>
    <row r="119" spans="1:57" s="5" customFormat="1" ht="15.6" x14ac:dyDescent="0.3">
      <c r="A119" s="474"/>
      <c r="B119" s="87" t="s">
        <v>273</v>
      </c>
      <c r="C119" s="65"/>
      <c r="D119" s="65"/>
      <c r="E119" s="65"/>
      <c r="F119" s="1072" t="s">
        <v>114</v>
      </c>
      <c r="G119" s="1072"/>
      <c r="H119" s="1072" t="s">
        <v>113</v>
      </c>
      <c r="I119" s="1072"/>
      <c r="J119" s="1072" t="s">
        <v>243</v>
      </c>
      <c r="K119" s="1072"/>
      <c r="L119" s="67"/>
      <c r="M119" s="67"/>
      <c r="N119"/>
      <c r="O119"/>
      <c r="P119"/>
      <c r="Q119"/>
      <c r="R119"/>
      <c r="S119"/>
      <c r="T119"/>
      <c r="U119"/>
      <c r="AE119"/>
      <c r="AF119"/>
      <c r="AG119"/>
      <c r="AH119"/>
      <c r="AI119"/>
      <c r="AJ119"/>
      <c r="AK119"/>
      <c r="AL119"/>
      <c r="AM119"/>
      <c r="AN119"/>
      <c r="AO119"/>
      <c r="AP119"/>
      <c r="AQ119"/>
      <c r="AR119"/>
      <c r="AS119"/>
      <c r="AT119"/>
      <c r="AU119"/>
      <c r="AV119"/>
      <c r="AW119"/>
      <c r="AX119"/>
      <c r="AY119"/>
      <c r="AZ119"/>
      <c r="BA119"/>
      <c r="BB119"/>
      <c r="BC119"/>
      <c r="BD119"/>
      <c r="BE119"/>
    </row>
    <row r="120" spans="1:57" ht="13.8" thickBot="1" x14ac:dyDescent="0.3">
      <c r="A120" s="473"/>
      <c r="B120" s="65"/>
      <c r="C120" s="65"/>
      <c r="D120" s="65"/>
      <c r="E120" s="65"/>
      <c r="F120" s="65"/>
      <c r="G120" s="65"/>
      <c r="H120" s="66"/>
      <c r="I120" s="66"/>
      <c r="J120" s="67"/>
      <c r="K120" s="67"/>
      <c r="L120" s="67"/>
      <c r="M120" s="67"/>
    </row>
    <row r="121" spans="1:57" ht="13.8" thickBot="1" x14ac:dyDescent="0.3">
      <c r="A121" s="473"/>
      <c r="B121" s="65"/>
      <c r="C121" s="65" t="s">
        <v>222</v>
      </c>
      <c r="D121" s="67"/>
      <c r="E121" s="65"/>
      <c r="F121" s="74">
        <f>'Gårdens info'!G13*'Gårdens info'!D13*0.9</f>
        <v>450000</v>
      </c>
      <c r="G121" s="65" t="s">
        <v>212</v>
      </c>
      <c r="H121" s="77">
        <v>2E-3</v>
      </c>
      <c r="I121" s="66" t="s">
        <v>206</v>
      </c>
      <c r="J121" s="68">
        <f t="shared" ref="J121:J123" si="15">F121*H121</f>
        <v>900</v>
      </c>
      <c r="K121" s="65" t="s">
        <v>57</v>
      </c>
      <c r="L121" s="67"/>
      <c r="M121" s="67"/>
      <c r="N121" s="5"/>
      <c r="O121" s="5"/>
      <c r="P121" s="5"/>
      <c r="Q121" s="5"/>
      <c r="R121" s="5"/>
      <c r="S121" s="5"/>
      <c r="T121" s="5"/>
      <c r="U121" s="5"/>
    </row>
    <row r="122" spans="1:57" ht="13.8" thickBot="1" x14ac:dyDescent="0.3">
      <c r="A122" s="473"/>
      <c r="B122" s="65"/>
      <c r="C122" s="65" t="s">
        <v>274</v>
      </c>
      <c r="D122" s="65"/>
      <c r="E122" s="65"/>
      <c r="F122" s="74"/>
      <c r="G122" s="65" t="s">
        <v>212</v>
      </c>
      <c r="H122" s="77"/>
      <c r="I122" s="66" t="s">
        <v>206</v>
      </c>
      <c r="J122" s="68">
        <f t="shared" si="15"/>
        <v>0</v>
      </c>
      <c r="K122" s="65" t="s">
        <v>57</v>
      </c>
      <c r="L122" s="67"/>
      <c r="M122" s="67"/>
    </row>
    <row r="123" spans="1:57" ht="13.8" thickBot="1" x14ac:dyDescent="0.3">
      <c r="A123" s="473"/>
      <c r="B123" s="65"/>
      <c r="C123" s="65" t="s">
        <v>274</v>
      </c>
      <c r="D123" s="65"/>
      <c r="E123" s="65"/>
      <c r="F123" s="74"/>
      <c r="G123" s="65" t="s">
        <v>212</v>
      </c>
      <c r="H123" s="77"/>
      <c r="I123" s="66" t="s">
        <v>206</v>
      </c>
      <c r="J123" s="68">
        <f t="shared" si="15"/>
        <v>0</v>
      </c>
      <c r="K123" s="65" t="s">
        <v>57</v>
      </c>
      <c r="L123" s="67"/>
      <c r="M123" s="67"/>
    </row>
    <row r="124" spans="1:57" x14ac:dyDescent="0.25">
      <c r="A124" s="473"/>
      <c r="B124" s="201"/>
      <c r="C124" s="201" t="s">
        <v>54</v>
      </c>
      <c r="D124" s="201"/>
      <c r="E124" s="201"/>
      <c r="F124" s="201"/>
      <c r="G124" s="201"/>
      <c r="H124" s="202"/>
      <c r="I124" s="202"/>
      <c r="J124" s="203">
        <f>SUM(J121:J123)</f>
        <v>900</v>
      </c>
      <c r="K124" s="201" t="s">
        <v>57</v>
      </c>
      <c r="L124" s="201"/>
      <c r="M124" s="201"/>
    </row>
    <row r="125" spans="1:57" x14ac:dyDescent="0.25">
      <c r="A125" s="473"/>
      <c r="B125" s="65"/>
      <c r="C125" s="65"/>
      <c r="D125" s="65"/>
      <c r="E125" s="65"/>
      <c r="F125" s="65"/>
      <c r="G125" s="65"/>
      <c r="H125" s="66"/>
      <c r="I125" s="66"/>
      <c r="J125" s="68"/>
      <c r="K125" s="65"/>
      <c r="L125" s="67"/>
      <c r="M125" s="67"/>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row>
    <row r="126" spans="1:57" x14ac:dyDescent="0.25">
      <c r="A126" s="473"/>
    </row>
    <row r="127" spans="1:57" ht="15.6" x14ac:dyDescent="0.3">
      <c r="A127" s="473"/>
      <c r="B127" s="176" t="s">
        <v>397</v>
      </c>
      <c r="C127" s="177"/>
      <c r="D127" s="177"/>
      <c r="E127" s="177"/>
      <c r="F127" s="1067" t="s">
        <v>114</v>
      </c>
      <c r="G127" s="1067"/>
      <c r="H127" s="1067" t="s">
        <v>113</v>
      </c>
      <c r="I127" s="1067"/>
      <c r="J127" s="1067" t="s">
        <v>243</v>
      </c>
      <c r="K127" s="1067"/>
      <c r="L127" s="179"/>
      <c r="M127" s="179"/>
    </row>
    <row r="128" spans="1:57" ht="13.8" thickBot="1" x14ac:dyDescent="0.3">
      <c r="A128" s="473"/>
      <c r="B128" s="177"/>
      <c r="C128" s="177"/>
      <c r="D128" s="177"/>
      <c r="E128" s="177"/>
      <c r="F128" s="177"/>
      <c r="G128" s="177"/>
      <c r="H128" s="178"/>
      <c r="I128" s="178"/>
      <c r="J128" s="179"/>
      <c r="K128" s="179"/>
      <c r="L128" s="179"/>
      <c r="M128" s="179"/>
    </row>
    <row r="129" spans="1:57" ht="13.8" thickBot="1" x14ac:dyDescent="0.3">
      <c r="A129" s="473"/>
      <c r="B129" s="177"/>
      <c r="C129" s="177" t="s">
        <v>276</v>
      </c>
      <c r="D129" s="179"/>
      <c r="E129" s="177"/>
      <c r="F129" s="74"/>
      <c r="G129" s="177" t="s">
        <v>7</v>
      </c>
      <c r="H129" s="77"/>
      <c r="I129" s="178" t="s">
        <v>57</v>
      </c>
      <c r="J129" s="180">
        <f t="shared" ref="J129:J131" si="16">F129*H129</f>
        <v>0</v>
      </c>
      <c r="K129" s="177" t="s">
        <v>57</v>
      </c>
      <c r="L129" s="179"/>
      <c r="M129" s="179"/>
    </row>
    <row r="130" spans="1:57" ht="13.8" thickBot="1" x14ac:dyDescent="0.3">
      <c r="B130" s="177"/>
      <c r="C130" s="177" t="s">
        <v>276</v>
      </c>
      <c r="D130" s="177"/>
      <c r="E130" s="177"/>
      <c r="F130" s="74"/>
      <c r="G130" s="177" t="s">
        <v>7</v>
      </c>
      <c r="H130" s="77"/>
      <c r="I130" s="178" t="s">
        <v>57</v>
      </c>
      <c r="J130" s="180">
        <f t="shared" si="16"/>
        <v>0</v>
      </c>
      <c r="K130" s="177" t="s">
        <v>57</v>
      </c>
      <c r="L130" s="179"/>
      <c r="M130" s="179"/>
    </row>
    <row r="131" spans="1:57" ht="13.8" thickBot="1" x14ac:dyDescent="0.3">
      <c r="B131" s="177"/>
      <c r="C131" s="177" t="s">
        <v>276</v>
      </c>
      <c r="D131" s="177"/>
      <c r="E131" s="177"/>
      <c r="F131" s="74"/>
      <c r="G131" s="177" t="s">
        <v>7</v>
      </c>
      <c r="H131" s="77"/>
      <c r="I131" s="178" t="s">
        <v>57</v>
      </c>
      <c r="J131" s="180">
        <f t="shared" si="16"/>
        <v>0</v>
      </c>
      <c r="K131" s="177" t="s">
        <v>57</v>
      </c>
      <c r="L131" s="179"/>
      <c r="M131" s="179"/>
    </row>
    <row r="132" spans="1:57" s="5" customFormat="1" x14ac:dyDescent="0.25">
      <c r="A132" s="468"/>
      <c r="B132" s="204"/>
      <c r="C132" s="204" t="s">
        <v>54</v>
      </c>
      <c r="D132" s="204"/>
      <c r="E132" s="204"/>
      <c r="F132" s="204"/>
      <c r="G132" s="204"/>
      <c r="H132" s="205"/>
      <c r="I132" s="205"/>
      <c r="J132" s="206">
        <f>SUM(J129:J131)</f>
        <v>0</v>
      </c>
      <c r="K132" s="204" t="s">
        <v>57</v>
      </c>
      <c r="L132" s="204"/>
      <c r="M132" s="204"/>
      <c r="N132"/>
      <c r="O132"/>
      <c r="P132"/>
      <c r="Q132"/>
      <c r="R132"/>
      <c r="S132"/>
      <c r="T132"/>
      <c r="U132"/>
      <c r="AE132"/>
      <c r="AF132"/>
      <c r="AG132"/>
      <c r="AH132"/>
      <c r="AI132"/>
      <c r="AJ132"/>
      <c r="AK132"/>
      <c r="AL132"/>
      <c r="AM132"/>
      <c r="AN132"/>
      <c r="AO132"/>
      <c r="AP132"/>
      <c r="AQ132"/>
      <c r="AR132"/>
      <c r="AS132"/>
      <c r="AT132"/>
      <c r="AU132"/>
      <c r="AV132"/>
      <c r="AW132"/>
      <c r="AX132"/>
      <c r="AY132"/>
      <c r="AZ132"/>
      <c r="BA132"/>
      <c r="BB132"/>
      <c r="BC132"/>
      <c r="BD132"/>
      <c r="BE132"/>
    </row>
    <row r="133" spans="1:57" x14ac:dyDescent="0.25">
      <c r="B133" s="177"/>
      <c r="C133" s="177"/>
      <c r="D133" s="177"/>
      <c r="E133" s="177"/>
      <c r="F133" s="177"/>
      <c r="G133" s="177"/>
      <c r="H133" s="178"/>
      <c r="I133" s="178"/>
      <c r="J133" s="180"/>
      <c r="K133" s="177"/>
      <c r="L133" s="179"/>
      <c r="M133" s="179"/>
    </row>
    <row r="134" spans="1:57" ht="30" customHeight="1" x14ac:dyDescent="0.25">
      <c r="N134" s="5"/>
      <c r="O134" s="5"/>
      <c r="P134" s="5"/>
      <c r="Q134" s="5"/>
      <c r="R134" s="5"/>
      <c r="S134" s="5"/>
      <c r="T134" s="5"/>
      <c r="U134" s="5"/>
    </row>
    <row r="135" spans="1:57" ht="15.6" x14ac:dyDescent="0.3">
      <c r="B135" s="181" t="s">
        <v>277</v>
      </c>
      <c r="C135" s="182"/>
      <c r="D135" s="182"/>
      <c r="E135" s="183"/>
      <c r="F135" s="182" t="s">
        <v>114</v>
      </c>
      <c r="G135" s="184"/>
      <c r="H135" s="184" t="s">
        <v>113</v>
      </c>
      <c r="I135" s="182"/>
      <c r="J135" s="182"/>
      <c r="K135" s="185"/>
      <c r="L135" s="185"/>
      <c r="M135" s="185"/>
    </row>
    <row r="136" spans="1:57" ht="16.2" thickBot="1" x14ac:dyDescent="0.35">
      <c r="B136" s="181"/>
      <c r="C136" s="182"/>
      <c r="D136" s="182"/>
      <c r="E136" s="183"/>
      <c r="F136" s="182"/>
      <c r="G136" s="184"/>
      <c r="H136" s="184"/>
      <c r="I136" s="182"/>
      <c r="J136" s="182"/>
      <c r="K136" s="185"/>
      <c r="L136" s="185"/>
      <c r="M136" s="185"/>
    </row>
    <row r="137" spans="1:57" ht="13.8" thickBot="1" x14ac:dyDescent="0.3">
      <c r="B137" s="182"/>
      <c r="C137" s="182" t="s">
        <v>278</v>
      </c>
      <c r="D137" s="185"/>
      <c r="E137" s="186"/>
      <c r="F137" s="74">
        <v>2000</v>
      </c>
      <c r="G137" s="187" t="s">
        <v>279</v>
      </c>
      <c r="H137" s="74">
        <v>0.15</v>
      </c>
      <c r="I137" s="188" t="s">
        <v>280</v>
      </c>
      <c r="J137" s="185">
        <f>H137*F137</f>
        <v>300</v>
      </c>
      <c r="K137" s="188" t="s">
        <v>57</v>
      </c>
      <c r="L137" s="185"/>
      <c r="M137" s="185"/>
    </row>
    <row r="138" spans="1:57" ht="13.8" thickBot="1" x14ac:dyDescent="0.3">
      <c r="B138" s="182"/>
      <c r="C138" s="182" t="s">
        <v>281</v>
      </c>
      <c r="D138" s="188">
        <f>F181/2</f>
        <v>98</v>
      </c>
      <c r="E138" s="182" t="s">
        <v>282</v>
      </c>
      <c r="F138" s="74">
        <f>+D138*8</f>
        <v>784</v>
      </c>
      <c r="G138" s="184" t="s">
        <v>256</v>
      </c>
      <c r="H138" s="74">
        <v>0.83</v>
      </c>
      <c r="I138" s="188" t="s">
        <v>257</v>
      </c>
      <c r="J138" s="185">
        <f>H138*F138</f>
        <v>650.71999999999991</v>
      </c>
      <c r="K138" s="188" t="s">
        <v>57</v>
      </c>
      <c r="L138" s="185"/>
      <c r="M138" s="18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row>
    <row r="139" spans="1:57" ht="13.8" thickBot="1" x14ac:dyDescent="0.3">
      <c r="B139" s="182"/>
      <c r="C139" s="182" t="s">
        <v>283</v>
      </c>
      <c r="D139" s="188">
        <f>D138</f>
        <v>98</v>
      </c>
      <c r="E139" s="182" t="s">
        <v>282</v>
      </c>
      <c r="F139" s="74">
        <v>11.88</v>
      </c>
      <c r="G139" s="184" t="s">
        <v>212</v>
      </c>
      <c r="H139" s="74">
        <v>4</v>
      </c>
      <c r="I139" s="188" t="s">
        <v>206</v>
      </c>
      <c r="J139" s="185">
        <f t="shared" ref="J139:J143" si="17">H139*F139</f>
        <v>47.52</v>
      </c>
      <c r="K139" s="188" t="s">
        <v>57</v>
      </c>
      <c r="L139" s="185"/>
      <c r="M139" s="185"/>
    </row>
    <row r="140" spans="1:57" ht="13.8" thickBot="1" x14ac:dyDescent="0.3">
      <c r="B140" s="182"/>
      <c r="C140" s="182" t="s">
        <v>284</v>
      </c>
      <c r="D140" s="185"/>
      <c r="E140" s="188"/>
      <c r="F140" s="74">
        <v>200</v>
      </c>
      <c r="G140" s="184" t="s">
        <v>256</v>
      </c>
      <c r="H140" s="74">
        <v>1.53</v>
      </c>
      <c r="I140" s="188" t="s">
        <v>257</v>
      </c>
      <c r="J140" s="185">
        <f t="shared" si="17"/>
        <v>306</v>
      </c>
      <c r="K140" s="188" t="s">
        <v>57</v>
      </c>
      <c r="L140" s="185"/>
      <c r="M140" s="185"/>
    </row>
    <row r="141" spans="1:57" ht="13.8" thickBot="1" x14ac:dyDescent="0.3">
      <c r="B141" s="182"/>
      <c r="C141" s="182" t="s">
        <v>285</v>
      </c>
      <c r="D141" s="185"/>
      <c r="E141" s="188"/>
      <c r="F141" s="74"/>
      <c r="G141" s="184" t="s">
        <v>256</v>
      </c>
      <c r="H141" s="74"/>
      <c r="I141" s="188" t="s">
        <v>257</v>
      </c>
      <c r="J141" s="185">
        <f t="shared" si="17"/>
        <v>0</v>
      </c>
      <c r="K141" s="188" t="s">
        <v>57</v>
      </c>
      <c r="L141" s="185"/>
      <c r="M141" s="185"/>
    </row>
    <row r="142" spans="1:57" ht="13.8" thickBot="1" x14ac:dyDescent="0.3">
      <c r="B142" s="182"/>
      <c r="C142" s="182" t="s">
        <v>286</v>
      </c>
      <c r="D142" s="185"/>
      <c r="E142" s="188"/>
      <c r="F142" s="74"/>
      <c r="G142" s="184"/>
      <c r="H142" s="74"/>
      <c r="I142" s="188"/>
      <c r="J142" s="185">
        <f t="shared" si="17"/>
        <v>0</v>
      </c>
      <c r="K142" s="188" t="s">
        <v>57</v>
      </c>
      <c r="L142" s="185"/>
      <c r="M142" s="185"/>
    </row>
    <row r="143" spans="1:57" ht="13.8" thickBot="1" x14ac:dyDescent="0.3">
      <c r="B143" s="185"/>
      <c r="C143" s="182" t="s">
        <v>286</v>
      </c>
      <c r="D143" s="185"/>
      <c r="E143" s="185"/>
      <c r="F143" s="74"/>
      <c r="G143" s="185"/>
      <c r="H143" s="74"/>
      <c r="I143" s="185"/>
      <c r="J143" s="185">
        <f t="shared" si="17"/>
        <v>0</v>
      </c>
      <c r="K143" s="188" t="s">
        <v>57</v>
      </c>
      <c r="L143" s="185"/>
      <c r="M143" s="185"/>
    </row>
    <row r="144" spans="1:57" s="5" customFormat="1" x14ac:dyDescent="0.25">
      <c r="A144" s="468"/>
      <c r="B144" s="207"/>
      <c r="C144" s="207" t="s">
        <v>54</v>
      </c>
      <c r="D144" s="207"/>
      <c r="E144" s="207"/>
      <c r="F144" s="207"/>
      <c r="G144" s="207"/>
      <c r="H144" s="207"/>
      <c r="I144" s="207"/>
      <c r="J144" s="207">
        <f>SUM(J137:J143)</f>
        <v>1304.2399999999998</v>
      </c>
      <c r="K144" s="208" t="s">
        <v>57</v>
      </c>
      <c r="L144" s="207"/>
      <c r="M144" s="207"/>
      <c r="AE144"/>
      <c r="AF144"/>
      <c r="AG144"/>
      <c r="AH144"/>
      <c r="AI144"/>
      <c r="AJ144"/>
      <c r="AK144"/>
      <c r="AL144"/>
      <c r="AM144"/>
      <c r="AN144"/>
      <c r="AO144"/>
      <c r="AP144"/>
      <c r="AQ144"/>
      <c r="AR144"/>
      <c r="AS144"/>
      <c r="AT144"/>
      <c r="AU144"/>
      <c r="AV144"/>
      <c r="AW144"/>
      <c r="AX144"/>
      <c r="AY144"/>
      <c r="AZ144"/>
      <c r="BA144"/>
      <c r="BB144"/>
      <c r="BC144"/>
      <c r="BD144"/>
      <c r="BE144"/>
    </row>
    <row r="145" spans="1:57" x14ac:dyDescent="0.25">
      <c r="B145" s="185"/>
      <c r="C145" s="185"/>
      <c r="D145" s="185"/>
      <c r="E145" s="185"/>
      <c r="F145" s="185"/>
      <c r="G145" s="185"/>
      <c r="H145" s="185"/>
      <c r="I145" s="185"/>
      <c r="J145" s="185"/>
      <c r="K145" s="185"/>
      <c r="L145" s="185"/>
      <c r="M145" s="185"/>
    </row>
    <row r="147" spans="1:57" ht="15.6" x14ac:dyDescent="0.3">
      <c r="B147" s="88" t="s">
        <v>287</v>
      </c>
      <c r="C147" s="79"/>
      <c r="D147" s="79"/>
      <c r="E147" s="79"/>
      <c r="F147" s="79"/>
      <c r="G147" s="79"/>
      <c r="H147" s="79"/>
      <c r="I147" s="79"/>
      <c r="J147" s="79"/>
      <c r="K147" s="79"/>
      <c r="L147" s="79"/>
      <c r="M147" s="79"/>
    </row>
    <row r="148" spans="1:57" ht="15.6" x14ac:dyDescent="0.3">
      <c r="B148" s="88"/>
      <c r="C148" s="79"/>
      <c r="D148" s="79"/>
      <c r="E148" s="79"/>
      <c r="F148" s="79"/>
      <c r="G148" s="79"/>
      <c r="H148" s="79"/>
      <c r="I148" s="79"/>
      <c r="J148" s="79"/>
      <c r="K148" s="79"/>
      <c r="L148" s="79"/>
      <c r="M148" s="79"/>
    </row>
    <row r="149" spans="1:57" ht="52.95" customHeight="1" x14ac:dyDescent="0.25">
      <c r="B149" s="1096" t="s">
        <v>373</v>
      </c>
      <c r="C149" s="1096"/>
      <c r="D149" s="1096"/>
      <c r="E149" s="1096"/>
      <c r="F149" s="1096"/>
      <c r="G149" s="1096"/>
      <c r="H149" s="1096"/>
      <c r="I149" s="1096"/>
      <c r="J149" s="1096"/>
      <c r="K149" s="1096"/>
      <c r="L149" s="1096"/>
      <c r="M149" s="1096"/>
    </row>
    <row r="150" spans="1:57" s="5" customFormat="1" ht="25.2" customHeight="1" thickBot="1" x14ac:dyDescent="0.35">
      <c r="A150" s="468"/>
      <c r="B150" s="936" t="s">
        <v>374</v>
      </c>
      <c r="C150" s="934"/>
      <c r="D150" s="934"/>
      <c r="E150" s="935"/>
      <c r="F150" s="83"/>
      <c r="G150" s="83"/>
      <c r="H150" s="84"/>
      <c r="I150" s="84"/>
      <c r="J150" s="83"/>
      <c r="K150" s="83"/>
      <c r="L150" s="84"/>
      <c r="M150" s="84"/>
      <c r="N150"/>
      <c r="O150"/>
      <c r="P150"/>
      <c r="Q150"/>
      <c r="R150"/>
      <c r="S150"/>
      <c r="T150"/>
      <c r="U150"/>
    </row>
    <row r="151" spans="1:57" ht="16.2" customHeight="1" x14ac:dyDescent="0.3">
      <c r="B151" s="88"/>
      <c r="C151" s="79"/>
      <c r="D151" s="79"/>
      <c r="E151" s="1069" t="s">
        <v>290</v>
      </c>
      <c r="F151" s="1069"/>
      <c r="G151" s="1069"/>
      <c r="H151" s="1070" t="s">
        <v>113</v>
      </c>
      <c r="I151" s="1070"/>
      <c r="J151" s="1069" t="s">
        <v>291</v>
      </c>
      <c r="K151" s="1069"/>
      <c r="L151" s="1070" t="s">
        <v>113</v>
      </c>
      <c r="M151" s="1070"/>
    </row>
    <row r="152" spans="1:57" ht="16.2" customHeight="1" thickBot="1" x14ac:dyDescent="0.3">
      <c r="B152" s="78"/>
      <c r="C152" s="79"/>
      <c r="D152" s="79"/>
      <c r="E152" s="79"/>
      <c r="F152" s="79"/>
      <c r="G152" s="79"/>
      <c r="H152" s="79"/>
      <c r="I152" s="79"/>
      <c r="J152" s="79"/>
      <c r="K152" s="79"/>
      <c r="L152" s="79"/>
      <c r="M152" s="79"/>
      <c r="N152" s="5"/>
      <c r="O152" s="5"/>
      <c r="P152" s="5"/>
      <c r="Q152" s="5"/>
      <c r="R152" s="5"/>
      <c r="S152" s="5"/>
      <c r="T152" s="5"/>
      <c r="U152" s="5"/>
    </row>
    <row r="153" spans="1:57" ht="13.8" thickBot="1" x14ac:dyDescent="0.3">
      <c r="B153" s="79"/>
      <c r="C153" s="80" t="str">
        <f>AE6</f>
        <v>Odlingsplanering, dokumentation och kvalitetssystem</v>
      </c>
      <c r="D153" s="79"/>
      <c r="E153" s="79"/>
      <c r="F153" s="822">
        <f>BD6</f>
        <v>11</v>
      </c>
      <c r="G153" s="82" t="s">
        <v>293</v>
      </c>
      <c r="H153" s="93">
        <v>14.5</v>
      </c>
      <c r="I153" s="82" t="s">
        <v>294</v>
      </c>
      <c r="J153" s="823"/>
      <c r="K153" s="82" t="s">
        <v>293</v>
      </c>
      <c r="L153" s="93">
        <v>14.5</v>
      </c>
      <c r="M153" s="82" t="s">
        <v>294</v>
      </c>
    </row>
    <row r="154" spans="1:57" x14ac:dyDescent="0.25">
      <c r="B154" s="79"/>
      <c r="C154" s="80" t="str">
        <f t="shared" ref="C154:C176" si="18">AE7</f>
        <v>Produktionsavtal</v>
      </c>
      <c r="D154" s="79"/>
      <c r="E154" s="79"/>
      <c r="F154" s="822">
        <f>BD7</f>
        <v>0</v>
      </c>
      <c r="G154" s="82" t="s">
        <v>293</v>
      </c>
      <c r="H154" s="90">
        <f>$H$153</f>
        <v>14.5</v>
      </c>
      <c r="I154" s="82" t="s">
        <v>294</v>
      </c>
      <c r="J154" s="823"/>
      <c r="K154" s="82" t="s">
        <v>293</v>
      </c>
      <c r="L154" s="90">
        <f>$L$153</f>
        <v>14.5</v>
      </c>
      <c r="M154" s="82" t="s">
        <v>294</v>
      </c>
    </row>
    <row r="155" spans="1:57" x14ac:dyDescent="0.25">
      <c r="B155" s="79"/>
      <c r="C155" s="80" t="str">
        <f t="shared" si="18"/>
        <v>Jordbearbetning</v>
      </c>
      <c r="D155" s="79"/>
      <c r="E155" s="79"/>
      <c r="F155" s="822">
        <f>BD8</f>
        <v>3</v>
      </c>
      <c r="G155" s="82" t="s">
        <v>293</v>
      </c>
      <c r="H155" s="90">
        <f t="shared" ref="H155:H180" si="19">$H$153</f>
        <v>14.5</v>
      </c>
      <c r="I155" s="82" t="s">
        <v>294</v>
      </c>
      <c r="J155" s="823"/>
      <c r="K155" s="82" t="s">
        <v>293</v>
      </c>
      <c r="L155" s="90">
        <f t="shared" ref="L155:L180" si="20">$L$153</f>
        <v>14.5</v>
      </c>
      <c r="M155" s="82" t="s">
        <v>294</v>
      </c>
    </row>
    <row r="156" spans="1:57" x14ac:dyDescent="0.25">
      <c r="B156" s="79"/>
      <c r="C156" s="80" t="str">
        <f t="shared" si="18"/>
        <v>Mottagning och skötsel av plantor</v>
      </c>
      <c r="D156" s="79"/>
      <c r="E156" s="79"/>
      <c r="F156" s="822">
        <f>BD9</f>
        <v>1</v>
      </c>
      <c r="G156" s="82" t="s">
        <v>293</v>
      </c>
      <c r="H156" s="90">
        <f t="shared" si="19"/>
        <v>14.5</v>
      </c>
      <c r="I156" s="82" t="s">
        <v>294</v>
      </c>
      <c r="J156" s="823"/>
      <c r="K156" s="82" t="s">
        <v>293</v>
      </c>
      <c r="L156" s="90">
        <f t="shared" si="20"/>
        <v>14.5</v>
      </c>
      <c r="M156" s="82" t="s">
        <v>294</v>
      </c>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row>
    <row r="157" spans="1:57" x14ac:dyDescent="0.25">
      <c r="B157" s="79"/>
      <c r="C157" s="80" t="str">
        <f t="shared" si="18"/>
        <v>Sådd</v>
      </c>
      <c r="D157" s="79"/>
      <c r="E157" s="79"/>
      <c r="F157" s="822">
        <f>BD10/2</f>
        <v>5</v>
      </c>
      <c r="G157" s="82" t="s">
        <v>293</v>
      </c>
      <c r="H157" s="90">
        <f t="shared" si="19"/>
        <v>14.5</v>
      </c>
      <c r="I157" s="82" t="s">
        <v>294</v>
      </c>
      <c r="J157" s="822">
        <f>BD10/2</f>
        <v>5</v>
      </c>
      <c r="K157" s="82" t="s">
        <v>293</v>
      </c>
      <c r="L157" s="90">
        <f t="shared" si="20"/>
        <v>14.5</v>
      </c>
      <c r="M157" s="82" t="s">
        <v>294</v>
      </c>
    </row>
    <row r="158" spans="1:57" x14ac:dyDescent="0.25">
      <c r="B158" s="79"/>
      <c r="C158" s="80" t="str">
        <f t="shared" si="18"/>
        <v>Gödsel</v>
      </c>
      <c r="D158" s="79"/>
      <c r="E158" s="79"/>
      <c r="F158" s="822">
        <f t="shared" ref="F158:F164" si="21">BD11</f>
        <v>6</v>
      </c>
      <c r="G158" s="82" t="s">
        <v>293</v>
      </c>
      <c r="H158" s="90">
        <f t="shared" si="19"/>
        <v>14.5</v>
      </c>
      <c r="I158" s="82" t="s">
        <v>294</v>
      </c>
      <c r="J158" s="823"/>
      <c r="K158" s="82" t="s">
        <v>293</v>
      </c>
      <c r="L158" s="90">
        <f t="shared" si="20"/>
        <v>14.5</v>
      </c>
      <c r="M158" s="82" t="s">
        <v>294</v>
      </c>
    </row>
    <row r="159" spans="1:57" s="5" customFormat="1" x14ac:dyDescent="0.25">
      <c r="A159" s="468"/>
      <c r="B159" s="79"/>
      <c r="C159" s="80" t="str">
        <f t="shared" si="18"/>
        <v>Installation av bevattningsutrustning</v>
      </c>
      <c r="D159" s="79"/>
      <c r="E159" s="79"/>
      <c r="F159" s="822">
        <f t="shared" si="21"/>
        <v>4</v>
      </c>
      <c r="G159" s="82" t="s">
        <v>293</v>
      </c>
      <c r="H159" s="90">
        <f t="shared" si="19"/>
        <v>14.5</v>
      </c>
      <c r="I159" s="82" t="s">
        <v>294</v>
      </c>
      <c r="J159" s="823"/>
      <c r="K159" s="82" t="s">
        <v>293</v>
      </c>
      <c r="L159" s="90">
        <f t="shared" si="20"/>
        <v>14.5</v>
      </c>
      <c r="M159" s="82" t="s">
        <v>294</v>
      </c>
      <c r="N159"/>
      <c r="O159"/>
      <c r="P159"/>
      <c r="Q159"/>
      <c r="R159"/>
      <c r="S159"/>
      <c r="T159"/>
      <c r="U159"/>
      <c r="AE159"/>
      <c r="AF159"/>
      <c r="AG159"/>
      <c r="AH159"/>
      <c r="AI159"/>
      <c r="AJ159"/>
      <c r="AK159"/>
      <c r="AL159"/>
      <c r="AM159"/>
      <c r="AN159"/>
      <c r="AO159"/>
      <c r="AP159"/>
      <c r="AQ159"/>
      <c r="AR159"/>
      <c r="AS159"/>
      <c r="AT159"/>
      <c r="AU159"/>
      <c r="AV159"/>
      <c r="AW159"/>
      <c r="AX159"/>
      <c r="AY159"/>
      <c r="AZ159"/>
      <c r="BA159"/>
      <c r="BB159"/>
      <c r="BC159"/>
      <c r="BD159"/>
      <c r="BE159"/>
    </row>
    <row r="160" spans="1:57" x14ac:dyDescent="0.25">
      <c r="B160" s="79"/>
      <c r="C160" s="80" t="str">
        <f t="shared" si="18"/>
        <v>Bevattning</v>
      </c>
      <c r="D160" s="79"/>
      <c r="E160" s="79"/>
      <c r="F160" s="822">
        <f t="shared" si="21"/>
        <v>18</v>
      </c>
      <c r="G160" s="82" t="s">
        <v>293</v>
      </c>
      <c r="H160" s="90">
        <f t="shared" si="19"/>
        <v>14.5</v>
      </c>
      <c r="I160" s="82" t="s">
        <v>294</v>
      </c>
      <c r="J160" s="823"/>
      <c r="K160" s="82" t="s">
        <v>293</v>
      </c>
      <c r="L160" s="90">
        <f t="shared" si="20"/>
        <v>14.5</v>
      </c>
      <c r="M160" s="82" t="s">
        <v>294</v>
      </c>
    </row>
    <row r="161" spans="2:57" x14ac:dyDescent="0.25">
      <c r="B161" s="79"/>
      <c r="C161" s="80" t="str">
        <f t="shared" si="18"/>
        <v>Höstunderhåll av bevattningsutrustning</v>
      </c>
      <c r="D161" s="79"/>
      <c r="E161" s="79"/>
      <c r="F161" s="822">
        <f t="shared" si="21"/>
        <v>4</v>
      </c>
      <c r="G161" s="82" t="s">
        <v>293</v>
      </c>
      <c r="H161" s="90">
        <f t="shared" si="19"/>
        <v>14.5</v>
      </c>
      <c r="I161" s="82" t="s">
        <v>294</v>
      </c>
      <c r="J161" s="823"/>
      <c r="K161" s="82" t="s">
        <v>293</v>
      </c>
      <c r="L161" s="90">
        <f t="shared" si="20"/>
        <v>14.5</v>
      </c>
      <c r="M161" s="82" t="s">
        <v>294</v>
      </c>
      <c r="N161" s="5"/>
      <c r="O161" s="5"/>
      <c r="P161" s="5"/>
      <c r="Q161" s="5"/>
      <c r="R161" s="5"/>
      <c r="S161" s="5"/>
      <c r="T161" s="5"/>
      <c r="U161" s="5"/>
    </row>
    <row r="162" spans="2:57" x14ac:dyDescent="0.25">
      <c r="B162" s="79"/>
      <c r="C162" s="80" t="str">
        <f t="shared" si="18"/>
        <v>Växtskydd, ogräs</v>
      </c>
      <c r="D162" s="79"/>
      <c r="E162" s="79"/>
      <c r="F162" s="822">
        <f t="shared" si="21"/>
        <v>6</v>
      </c>
      <c r="G162" s="82" t="s">
        <v>293</v>
      </c>
      <c r="H162" s="90">
        <f t="shared" si="19"/>
        <v>14.5</v>
      </c>
      <c r="I162" s="82" t="s">
        <v>294</v>
      </c>
      <c r="J162" s="823"/>
      <c r="K162" s="82" t="s">
        <v>293</v>
      </c>
      <c r="L162" s="90">
        <f t="shared" si="20"/>
        <v>14.5</v>
      </c>
      <c r="M162" s="82" t="s">
        <v>294</v>
      </c>
    </row>
    <row r="163" spans="2:57" x14ac:dyDescent="0.25">
      <c r="B163" s="79"/>
      <c r="C163" s="80" t="str">
        <f t="shared" si="18"/>
        <v>Växtskydd, sjukdomar</v>
      </c>
      <c r="D163" s="79"/>
      <c r="E163" s="79"/>
      <c r="F163" s="822">
        <f t="shared" si="21"/>
        <v>2</v>
      </c>
      <c r="G163" s="82" t="s">
        <v>293</v>
      </c>
      <c r="H163" s="90">
        <f t="shared" si="19"/>
        <v>14.5</v>
      </c>
      <c r="I163" s="82" t="s">
        <v>294</v>
      </c>
      <c r="J163" s="823"/>
      <c r="K163" s="82" t="s">
        <v>293</v>
      </c>
      <c r="L163" s="90">
        <f t="shared" si="20"/>
        <v>14.5</v>
      </c>
      <c r="M163" s="82" t="s">
        <v>294</v>
      </c>
    </row>
    <row r="164" spans="2:57" x14ac:dyDescent="0.25">
      <c r="B164" s="79"/>
      <c r="C164" s="80" t="str">
        <f t="shared" si="18"/>
        <v>Växtskydd, skadedjur</v>
      </c>
      <c r="D164" s="79"/>
      <c r="E164" s="79"/>
      <c r="F164" s="822">
        <f t="shared" si="21"/>
        <v>6</v>
      </c>
      <c r="G164" s="82" t="s">
        <v>293</v>
      </c>
      <c r="H164" s="90">
        <f t="shared" si="19"/>
        <v>14.5</v>
      </c>
      <c r="I164" s="82" t="s">
        <v>294</v>
      </c>
      <c r="J164" s="823"/>
      <c r="K164" s="82" t="s">
        <v>293</v>
      </c>
      <c r="L164" s="90">
        <f t="shared" si="20"/>
        <v>14.5</v>
      </c>
      <c r="M164" s="82" t="s">
        <v>294</v>
      </c>
    </row>
    <row r="165" spans="2:57" x14ac:dyDescent="0.25">
      <c r="B165" s="79"/>
      <c r="C165" s="80" t="str">
        <f t="shared" si="18"/>
        <v>Radrensning</v>
      </c>
      <c r="D165" s="79"/>
      <c r="E165" s="79"/>
      <c r="F165" s="822"/>
      <c r="G165" s="82" t="s">
        <v>293</v>
      </c>
      <c r="H165" s="90">
        <f t="shared" si="19"/>
        <v>14.5</v>
      </c>
      <c r="I165" s="82" t="s">
        <v>294</v>
      </c>
      <c r="J165" s="823">
        <f>BD18</f>
        <v>40</v>
      </c>
      <c r="K165" s="82" t="s">
        <v>293</v>
      </c>
      <c r="L165" s="90">
        <f t="shared" si="20"/>
        <v>14.5</v>
      </c>
      <c r="M165" s="82" t="s">
        <v>294</v>
      </c>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row>
    <row r="166" spans="2:57" x14ac:dyDescent="0.25">
      <c r="B166" s="79"/>
      <c r="C166" s="80" t="str">
        <f t="shared" si="18"/>
        <v>Rengöring av lager och andra utrymmen</v>
      </c>
      <c r="D166" s="79"/>
      <c r="E166" s="79"/>
      <c r="F166" s="822">
        <f>BD19</f>
        <v>9</v>
      </c>
      <c r="G166" s="82" t="s">
        <v>293</v>
      </c>
      <c r="H166" s="90">
        <f t="shared" si="19"/>
        <v>14.5</v>
      </c>
      <c r="I166" s="82" t="s">
        <v>294</v>
      </c>
      <c r="J166" s="823"/>
      <c r="K166" s="82" t="s">
        <v>293</v>
      </c>
      <c r="L166" s="90">
        <f t="shared" si="20"/>
        <v>14.5</v>
      </c>
      <c r="M166" s="82" t="s">
        <v>294</v>
      </c>
    </row>
    <row r="167" spans="2:57" x14ac:dyDescent="0.25">
      <c r="B167" s="79"/>
      <c r="C167" s="80" t="str">
        <f t="shared" si="18"/>
        <v>Skörd</v>
      </c>
      <c r="D167" s="79"/>
      <c r="E167" s="79"/>
      <c r="F167" s="822">
        <f>BD20/2</f>
        <v>10</v>
      </c>
      <c r="G167" s="82" t="s">
        <v>293</v>
      </c>
      <c r="H167" s="90">
        <f t="shared" si="19"/>
        <v>14.5</v>
      </c>
      <c r="I167" s="82" t="s">
        <v>294</v>
      </c>
      <c r="J167" s="824">
        <f>BD20/2</f>
        <v>10</v>
      </c>
      <c r="K167" s="82" t="s">
        <v>293</v>
      </c>
      <c r="L167" s="90">
        <f t="shared" si="20"/>
        <v>14.5</v>
      </c>
      <c r="M167" s="82" t="s">
        <v>294</v>
      </c>
    </row>
    <row r="168" spans="2:57" x14ac:dyDescent="0.25">
      <c r="B168" s="79"/>
      <c r="C168" s="80" t="str">
        <f t="shared" si="18"/>
        <v>Hantering och transport av skörd från fält till lager</v>
      </c>
      <c r="D168" s="79"/>
      <c r="E168" s="79"/>
      <c r="F168" s="822">
        <f>BD21</f>
        <v>10</v>
      </c>
      <c r="G168" s="82" t="s">
        <v>293</v>
      </c>
      <c r="H168" s="90">
        <f t="shared" si="19"/>
        <v>14.5</v>
      </c>
      <c r="I168" s="82" t="s">
        <v>294</v>
      </c>
      <c r="J168" s="824"/>
      <c r="K168" s="82" t="s">
        <v>293</v>
      </c>
      <c r="L168" s="90">
        <f t="shared" si="20"/>
        <v>14.5</v>
      </c>
      <c r="M168" s="82" t="s">
        <v>294</v>
      </c>
    </row>
    <row r="169" spans="2:57" x14ac:dyDescent="0.25">
      <c r="B169" s="79"/>
      <c r="C169" s="80" t="str">
        <f t="shared" si="18"/>
        <v>Iordningställande och förpackning för försäljning</v>
      </c>
      <c r="D169" s="81"/>
      <c r="E169" s="81"/>
      <c r="F169" s="822">
        <f>BD22/2</f>
        <v>21</v>
      </c>
      <c r="G169" s="82" t="s">
        <v>293</v>
      </c>
      <c r="H169" s="90">
        <f t="shared" si="19"/>
        <v>14.5</v>
      </c>
      <c r="I169" s="82" t="s">
        <v>294</v>
      </c>
      <c r="J169" s="823">
        <f>BD22/2</f>
        <v>21</v>
      </c>
      <c r="K169" s="82" t="s">
        <v>293</v>
      </c>
      <c r="L169" s="90">
        <f t="shared" si="20"/>
        <v>14.5</v>
      </c>
      <c r="M169" s="82" t="s">
        <v>294</v>
      </c>
    </row>
    <row r="170" spans="2:57" x14ac:dyDescent="0.25">
      <c r="B170" s="209"/>
      <c r="C170" s="80" t="str">
        <f t="shared" si="18"/>
        <v>Avslutning</v>
      </c>
      <c r="D170" s="211"/>
      <c r="E170" s="211"/>
      <c r="F170" s="822">
        <f t="shared" ref="F170:F176" si="22">BD23</f>
        <v>4</v>
      </c>
      <c r="G170" s="82" t="s">
        <v>293</v>
      </c>
      <c r="H170" s="90">
        <f t="shared" si="19"/>
        <v>14.5</v>
      </c>
      <c r="I170" s="82" t="s">
        <v>294</v>
      </c>
      <c r="J170" s="824"/>
      <c r="K170" s="82" t="s">
        <v>293</v>
      </c>
      <c r="L170" s="90">
        <f t="shared" si="20"/>
        <v>14.5</v>
      </c>
      <c r="M170" s="82" t="s">
        <v>294</v>
      </c>
    </row>
    <row r="171" spans="2:57" x14ac:dyDescent="0.25">
      <c r="B171" s="79"/>
      <c r="C171" s="80" t="str">
        <f t="shared" si="18"/>
        <v>Utbildning, skatter, stöd, odling</v>
      </c>
      <c r="D171" s="79"/>
      <c r="E171" s="79"/>
      <c r="F171" s="822">
        <f t="shared" si="22"/>
        <v>12</v>
      </c>
      <c r="G171" s="82" t="s">
        <v>293</v>
      </c>
      <c r="H171" s="90">
        <f t="shared" si="19"/>
        <v>14.5</v>
      </c>
      <c r="I171" s="82" t="s">
        <v>294</v>
      </c>
      <c r="J171" s="824"/>
      <c r="K171" s="82" t="s">
        <v>293</v>
      </c>
      <c r="L171" s="90">
        <f t="shared" si="20"/>
        <v>14.5</v>
      </c>
      <c r="M171" s="82" t="s">
        <v>294</v>
      </c>
    </row>
    <row r="172" spans="2:57" ht="13.2" customHeight="1" x14ac:dyDescent="0.25">
      <c r="B172" s="79"/>
      <c r="C172" s="80" t="str">
        <f t="shared" si="18"/>
        <v>Bokslut</v>
      </c>
      <c r="D172" s="79"/>
      <c r="E172" s="79"/>
      <c r="F172" s="822">
        <f t="shared" si="22"/>
        <v>6</v>
      </c>
      <c r="G172" s="82" t="s">
        <v>293</v>
      </c>
      <c r="H172" s="90">
        <f t="shared" si="19"/>
        <v>14.5</v>
      </c>
      <c r="I172" s="82" t="s">
        <v>294</v>
      </c>
      <c r="J172" s="824"/>
      <c r="K172" s="82" t="s">
        <v>293</v>
      </c>
      <c r="L172" s="90">
        <f t="shared" si="20"/>
        <v>14.5</v>
      </c>
      <c r="M172" s="82" t="s">
        <v>294</v>
      </c>
      <c r="N172" s="5"/>
      <c r="O172" s="5"/>
      <c r="P172" s="5"/>
      <c r="Q172" s="5"/>
      <c r="R172" s="5"/>
      <c r="S172" s="5"/>
      <c r="T172" s="5"/>
      <c r="U172" s="5"/>
    </row>
    <row r="173" spans="2:57" x14ac:dyDescent="0.25">
      <c r="B173" s="79"/>
      <c r="C173" s="80" t="str">
        <f t="shared" si="18"/>
        <v>Företagshälsovård</v>
      </c>
      <c r="D173" s="79"/>
      <c r="E173" s="79"/>
      <c r="F173" s="822">
        <f t="shared" si="22"/>
        <v>2</v>
      </c>
      <c r="G173" s="82" t="s">
        <v>293</v>
      </c>
      <c r="H173" s="90">
        <f t="shared" si="19"/>
        <v>14.5</v>
      </c>
      <c r="I173" s="82" t="s">
        <v>294</v>
      </c>
      <c r="J173" s="824"/>
      <c r="K173" s="82" t="s">
        <v>293</v>
      </c>
      <c r="L173" s="90">
        <f t="shared" si="20"/>
        <v>14.5</v>
      </c>
      <c r="M173" s="82" t="s">
        <v>294</v>
      </c>
    </row>
    <row r="174" spans="2:57" x14ac:dyDescent="0.25">
      <c r="B174" s="79"/>
      <c r="C174" s="80" t="str">
        <f t="shared" si="18"/>
        <v>Strategisk planering</v>
      </c>
      <c r="D174" s="79"/>
      <c r="E174" s="79"/>
      <c r="F174" s="822">
        <f t="shared" si="22"/>
        <v>4</v>
      </c>
      <c r="G174" s="82" t="s">
        <v>293</v>
      </c>
      <c r="H174" s="90">
        <f t="shared" si="19"/>
        <v>14.5</v>
      </c>
      <c r="I174" s="82" t="s">
        <v>294</v>
      </c>
      <c r="J174" s="824"/>
      <c r="K174" s="82" t="s">
        <v>293</v>
      </c>
      <c r="L174" s="90">
        <f t="shared" si="20"/>
        <v>14.5</v>
      </c>
      <c r="M174" s="82" t="s">
        <v>294</v>
      </c>
    </row>
    <row r="175" spans="2:57" ht="13.95" customHeight="1" x14ac:dyDescent="0.25">
      <c r="B175" s="79"/>
      <c r="C175" s="80" t="str">
        <f t="shared" si="18"/>
        <v>Inköp av produktionsinsatser</v>
      </c>
      <c r="D175" s="79"/>
      <c r="E175" s="79"/>
      <c r="F175" s="822">
        <f t="shared" si="22"/>
        <v>12</v>
      </c>
      <c r="G175" s="82" t="s">
        <v>293</v>
      </c>
      <c r="H175" s="90">
        <f t="shared" si="19"/>
        <v>14.5</v>
      </c>
      <c r="I175" s="82" t="s">
        <v>294</v>
      </c>
      <c r="J175" s="824"/>
      <c r="K175" s="82" t="s">
        <v>293</v>
      </c>
      <c r="L175" s="90">
        <f t="shared" si="20"/>
        <v>14.5</v>
      </c>
      <c r="M175" s="82" t="s">
        <v>294</v>
      </c>
    </row>
    <row r="176" spans="2:57" x14ac:dyDescent="0.25">
      <c r="B176" s="79"/>
      <c r="C176" s="80" t="str">
        <f t="shared" si="18"/>
        <v>Personalledning</v>
      </c>
      <c r="D176" s="79"/>
      <c r="E176" s="79"/>
      <c r="F176" s="822">
        <f t="shared" si="22"/>
        <v>30</v>
      </c>
      <c r="G176" s="82" t="s">
        <v>293</v>
      </c>
      <c r="H176" s="90">
        <f t="shared" si="19"/>
        <v>14.5</v>
      </c>
      <c r="I176" s="82" t="s">
        <v>294</v>
      </c>
      <c r="J176" s="824"/>
      <c r="K176" s="82" t="s">
        <v>293</v>
      </c>
      <c r="L176" s="90">
        <f t="shared" si="20"/>
        <v>14.5</v>
      </c>
      <c r="M176" s="82" t="s">
        <v>294</v>
      </c>
    </row>
    <row r="177" spans="1:57" x14ac:dyDescent="0.25">
      <c r="B177" s="79"/>
      <c r="C177" s="80" t="str">
        <f>AE30</f>
        <v>Marknadsföring</v>
      </c>
      <c r="D177" s="79"/>
      <c r="E177" s="79"/>
      <c r="F177" s="822">
        <f>BD30</f>
        <v>10</v>
      </c>
      <c r="G177" s="82" t="s">
        <v>293</v>
      </c>
      <c r="H177" s="90">
        <f t="shared" si="19"/>
        <v>14.5</v>
      </c>
      <c r="I177" s="82" t="s">
        <v>294</v>
      </c>
      <c r="J177" s="824"/>
      <c r="K177" s="82" t="s">
        <v>293</v>
      </c>
      <c r="L177" s="90">
        <f t="shared" si="20"/>
        <v>14.5</v>
      </c>
      <c r="M177" s="82" t="s">
        <v>294</v>
      </c>
    </row>
    <row r="178" spans="1:57" x14ac:dyDescent="0.25">
      <c r="B178" s="79"/>
      <c r="C178" s="80" t="str">
        <f t="shared" ref="C178:C180" si="23">AE31</f>
        <v>Arbetsmoment X</v>
      </c>
      <c r="D178" s="79"/>
      <c r="E178" s="79"/>
      <c r="F178" s="822">
        <f t="shared" ref="F178:F180" si="24">BD31</f>
        <v>0</v>
      </c>
      <c r="G178" s="82" t="s">
        <v>293</v>
      </c>
      <c r="H178" s="90">
        <f t="shared" si="19"/>
        <v>14.5</v>
      </c>
      <c r="I178" s="82" t="s">
        <v>294</v>
      </c>
      <c r="J178" s="824"/>
      <c r="K178" s="82" t="s">
        <v>293</v>
      </c>
      <c r="L178" s="90">
        <f t="shared" si="20"/>
        <v>14.5</v>
      </c>
      <c r="M178" s="82" t="s">
        <v>294</v>
      </c>
    </row>
    <row r="179" spans="1:57" x14ac:dyDescent="0.25">
      <c r="B179" s="79"/>
      <c r="C179" s="80" t="str">
        <f t="shared" si="23"/>
        <v>Arbetsmoment X</v>
      </c>
      <c r="D179" s="79"/>
      <c r="E179" s="79"/>
      <c r="F179" s="822">
        <f t="shared" si="24"/>
        <v>0</v>
      </c>
      <c r="G179" s="82" t="s">
        <v>293</v>
      </c>
      <c r="H179" s="90">
        <f t="shared" si="19"/>
        <v>14.5</v>
      </c>
      <c r="I179" s="82" t="s">
        <v>294</v>
      </c>
      <c r="J179" s="824"/>
      <c r="K179" s="82" t="s">
        <v>293</v>
      </c>
      <c r="L179" s="90">
        <f t="shared" si="20"/>
        <v>14.5</v>
      </c>
      <c r="M179" s="82" t="s">
        <v>294</v>
      </c>
    </row>
    <row r="180" spans="1:57" x14ac:dyDescent="0.25">
      <c r="B180" s="79"/>
      <c r="C180" s="80" t="str">
        <f t="shared" si="23"/>
        <v>Arbetsmoment X</v>
      </c>
      <c r="D180" s="79"/>
      <c r="E180" s="79"/>
      <c r="F180" s="822">
        <f t="shared" si="24"/>
        <v>0</v>
      </c>
      <c r="G180" s="82" t="s">
        <v>293</v>
      </c>
      <c r="H180" s="90">
        <f t="shared" si="19"/>
        <v>14.5</v>
      </c>
      <c r="I180" s="82" t="s">
        <v>294</v>
      </c>
      <c r="J180" s="824"/>
      <c r="K180" s="82" t="s">
        <v>293</v>
      </c>
      <c r="L180" s="90">
        <f t="shared" si="20"/>
        <v>14.5</v>
      </c>
      <c r="M180" s="82" t="s">
        <v>294</v>
      </c>
    </row>
    <row r="181" spans="1:57" ht="15.6" x14ac:dyDescent="0.3">
      <c r="B181" s="79"/>
      <c r="C181" s="814" t="s">
        <v>54</v>
      </c>
      <c r="D181" s="88"/>
      <c r="E181" s="88"/>
      <c r="F181" s="815">
        <f>SUM(F153:F180)</f>
        <v>196</v>
      </c>
      <c r="G181" s="88" t="s">
        <v>293</v>
      </c>
      <c r="H181" s="816">
        <f>F181*H153</f>
        <v>2842</v>
      </c>
      <c r="I181" s="88" t="s">
        <v>57</v>
      </c>
      <c r="J181" s="825">
        <f>SUM(J153:J180)</f>
        <v>76</v>
      </c>
      <c r="K181" s="88" t="s">
        <v>293</v>
      </c>
      <c r="L181" s="816">
        <f>J181*L153</f>
        <v>1102</v>
      </c>
      <c r="M181" s="88" t="s">
        <v>57</v>
      </c>
    </row>
    <row r="182" spans="1:57" x14ac:dyDescent="0.25">
      <c r="B182" s="79"/>
      <c r="C182" s="80"/>
      <c r="D182" s="79"/>
      <c r="E182" s="79"/>
      <c r="F182" s="79"/>
      <c r="G182" s="79"/>
      <c r="H182" s="79"/>
      <c r="I182" s="79"/>
      <c r="J182" s="79"/>
      <c r="K182" s="79"/>
      <c r="L182" s="79"/>
      <c r="M182" s="79"/>
    </row>
    <row r="183" spans="1:57" x14ac:dyDescent="0.25">
      <c r="C183" s="809"/>
    </row>
    <row r="191" spans="1:57" s="5" customFormat="1" x14ac:dyDescent="0.25">
      <c r="A191" s="468"/>
      <c r="B191"/>
      <c r="C191"/>
      <c r="D191"/>
      <c r="E191"/>
      <c r="F191"/>
      <c r="G191"/>
      <c r="H191"/>
      <c r="I191"/>
      <c r="J191"/>
      <c r="K191"/>
      <c r="L191"/>
      <c r="M191"/>
      <c r="N191"/>
      <c r="O191"/>
      <c r="P191"/>
      <c r="Q191"/>
      <c r="R191"/>
      <c r="S191"/>
      <c r="T191"/>
      <c r="U191"/>
      <c r="AE191"/>
      <c r="AF191"/>
      <c r="AG191"/>
      <c r="AH191"/>
      <c r="AI191"/>
      <c r="AJ191"/>
      <c r="AK191"/>
      <c r="AL191"/>
      <c r="AM191"/>
      <c r="AN191"/>
      <c r="AO191"/>
      <c r="AP191"/>
      <c r="AQ191"/>
      <c r="AR191"/>
      <c r="AS191"/>
      <c r="AT191"/>
      <c r="AU191"/>
      <c r="AV191"/>
      <c r="AW191"/>
      <c r="AX191"/>
      <c r="AY191"/>
      <c r="AZ191"/>
      <c r="BA191"/>
      <c r="BB191"/>
      <c r="BC191"/>
      <c r="BD191"/>
      <c r="BE191"/>
    </row>
    <row r="193" spans="14:57" x14ac:dyDescent="0.25">
      <c r="N193" s="5"/>
      <c r="O193" s="5"/>
      <c r="P193" s="5"/>
      <c r="Q193" s="5"/>
      <c r="R193" s="5"/>
      <c r="S193" s="5"/>
      <c r="T193" s="5"/>
      <c r="U193" s="5"/>
    </row>
    <row r="197" spans="14:57" x14ac:dyDescent="0.2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row>
  </sheetData>
  <mergeCells count="58">
    <mergeCell ref="AF5:AG5"/>
    <mergeCell ref="BB5:BC5"/>
    <mergeCell ref="AZ5:BA5"/>
    <mergeCell ref="AX5:AY5"/>
    <mergeCell ref="AV5:AW5"/>
    <mergeCell ref="AT5:AU5"/>
    <mergeCell ref="AR5:AS5"/>
    <mergeCell ref="AP5:AQ5"/>
    <mergeCell ref="AN5:AO5"/>
    <mergeCell ref="AL5:AM5"/>
    <mergeCell ref="AJ5:AK5"/>
    <mergeCell ref="AH5:AI5"/>
    <mergeCell ref="F127:G127"/>
    <mergeCell ref="H127:I127"/>
    <mergeCell ref="J127:K127"/>
    <mergeCell ref="B149:M149"/>
    <mergeCell ref="E151:G151"/>
    <mergeCell ref="H151:I151"/>
    <mergeCell ref="J151:K151"/>
    <mergeCell ref="L151:M151"/>
    <mergeCell ref="F106:G106"/>
    <mergeCell ref="H106:I106"/>
    <mergeCell ref="J106:K106"/>
    <mergeCell ref="F119:G119"/>
    <mergeCell ref="H119:I119"/>
    <mergeCell ref="J119:K119"/>
    <mergeCell ref="F77:G77"/>
    <mergeCell ref="H77:I77"/>
    <mergeCell ref="J77:K77"/>
    <mergeCell ref="F87:G87"/>
    <mergeCell ref="H87:I87"/>
    <mergeCell ref="J87:K87"/>
    <mergeCell ref="B63:D63"/>
    <mergeCell ref="B67:D67"/>
    <mergeCell ref="B70:E70"/>
    <mergeCell ref="L70:M70"/>
    <mergeCell ref="F72:G72"/>
    <mergeCell ref="H72:I72"/>
    <mergeCell ref="J72:K72"/>
    <mergeCell ref="B65:D65"/>
    <mergeCell ref="B58:D58"/>
    <mergeCell ref="B27:E27"/>
    <mergeCell ref="B28:E28"/>
    <mergeCell ref="B29:D29"/>
    <mergeCell ref="B32:C32"/>
    <mergeCell ref="C35:D35"/>
    <mergeCell ref="B39:D39"/>
    <mergeCell ref="C42:D42"/>
    <mergeCell ref="B46:D46"/>
    <mergeCell ref="C49:D49"/>
    <mergeCell ref="B53:C53"/>
    <mergeCell ref="C56:D56"/>
    <mergeCell ref="O19:Q19"/>
    <mergeCell ref="B2:C2"/>
    <mergeCell ref="B4:L4"/>
    <mergeCell ref="O10:Q10"/>
    <mergeCell ref="T10:U10"/>
    <mergeCell ref="B12:D12"/>
  </mergeCells>
  <phoneticPr fontId="2" type="noConversion"/>
  <hyperlinks>
    <hyperlink ref="B2" location="Tilakokonaisuus!A1" display="PALAA ETUSIVULLE" xr:uid="{E68CCB35-FCDD-7F44-83F2-FA1C8B46FA8E}"/>
    <hyperlink ref="B2:C2" location="'Gårdens info'!A1" display="TILL FRAMSIDAN" xr:uid="{542FD5A5-2896-F740-BA26-C708C9E909AF}"/>
    <hyperlink ref="B27:E27" location="'Gårdens info'!C97" display="ALMÄNNA KOSTNADER, kålens andel" xr:uid="{9FC6BC9D-375A-A943-9736-049E51AD4C79}"/>
    <hyperlink ref="B32:C32" location="Omaisuus!B15" display="RAKENNUKSET" xr:uid="{A7F8D7E0-BBA1-DC45-B719-CD2B1B49A404}"/>
    <hyperlink ref="B39:D39" location="Omaisuus!B28" display="KONEET JA KALUSTO" xr:uid="{D54D7B91-78B1-9A4C-8BD8-DC47066F60B4}"/>
    <hyperlink ref="B46:D46" location="Omaisuus!B51" display="PIDEMPIAIKAISET TUOTANTOVÄLINEET" xr:uid="{D4D8AC98-A5AC-AA44-8B3A-45DC480974D9}"/>
    <hyperlink ref="B53:C53" location="Omaisuus!B70" display="SALAOJAT" xr:uid="{C240D8C3-B4B6-4C4D-8DB7-8C5D03363799}"/>
    <hyperlink ref="L70" location="'Avomaan mansikka'!B2" display="PALAA SIVUN YLÄLAITAAN" xr:uid="{5D7CECF0-67D8-2948-AC36-92980793FBB0}"/>
    <hyperlink ref="L70:M70" location="Kål!A1" display="TILL SIDANS BÖRJAN" xr:uid="{81FDA73A-77A0-8A45-B618-5649AE406911}"/>
    <hyperlink ref="B150" location="Keräkaali!AP2" display="Tästä pääset kuukausittaiseen työnkäyttötaulukkoon." xr:uid="{6F96B77B-97D7-9544-BF9F-8395FEA706B9}"/>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0CEBB-22AD-8944-9497-E4F1618BFE21}">
  <sheetPr>
    <tabColor rgb="FF92D050"/>
  </sheetPr>
  <dimension ref="A1:Y125"/>
  <sheetViews>
    <sheetView topLeftCell="A85" zoomScale="57" workbookViewId="0">
      <selection activeCell="B5" sqref="B5"/>
    </sheetView>
  </sheetViews>
  <sheetFormatPr defaultColWidth="11.44140625" defaultRowHeight="13.2" x14ac:dyDescent="0.25"/>
  <cols>
    <col min="1" max="1" width="5.33203125" style="743" customWidth="1"/>
    <col min="3" max="3" width="23.5546875" customWidth="1"/>
    <col min="4" max="4" width="22.6640625" customWidth="1"/>
    <col min="5" max="5" width="12.109375" bestFit="1" customWidth="1"/>
    <col min="6" max="6" width="20.6640625" bestFit="1" customWidth="1"/>
    <col min="7" max="7" width="12.109375" customWidth="1"/>
    <col min="8" max="8" width="13.6640625" customWidth="1"/>
    <col min="9" max="9" width="11.44140625" customWidth="1"/>
    <col min="10" max="10" width="15.109375" customWidth="1"/>
    <col min="11" max="11" width="11.6640625" customWidth="1"/>
    <col min="12" max="12" width="20" customWidth="1"/>
    <col min="13" max="13" width="12.109375" customWidth="1"/>
    <col min="14" max="14" width="20.33203125" customWidth="1"/>
    <col min="15" max="15" width="21.33203125" customWidth="1"/>
    <col min="16" max="16" width="27" customWidth="1"/>
    <col min="17" max="17" width="21.44140625" customWidth="1"/>
    <col min="18" max="18" width="5.109375" customWidth="1"/>
    <col min="19" max="19" width="18.33203125" bestFit="1" customWidth="1"/>
    <col min="20" max="20" width="11.6640625" bestFit="1" customWidth="1"/>
    <col min="21" max="21" width="20.44140625" customWidth="1"/>
  </cols>
  <sheetData>
    <row r="1" spans="1:25" s="743" customFormat="1" ht="22.8" x14ac:dyDescent="0.4">
      <c r="B1" s="744" t="s">
        <v>29</v>
      </c>
    </row>
    <row r="2" spans="1:25" ht="27" customHeight="1" x14ac:dyDescent="0.3">
      <c r="B2" s="1094" t="s">
        <v>201</v>
      </c>
      <c r="C2" s="1094"/>
      <c r="F2" s="69"/>
      <c r="G2" s="69"/>
      <c r="H2" s="69"/>
    </row>
    <row r="3" spans="1:25" ht="27" customHeight="1" x14ac:dyDescent="0.3">
      <c r="B3" s="189"/>
      <c r="C3" s="189"/>
    </row>
    <row r="4" spans="1:25" ht="106.95" customHeight="1" x14ac:dyDescent="0.3">
      <c r="B4" s="1098" t="s">
        <v>398</v>
      </c>
      <c r="C4" s="1098"/>
      <c r="D4" s="1098"/>
      <c r="E4" s="1098"/>
      <c r="F4" s="1098"/>
      <c r="G4" s="1098"/>
      <c r="H4" s="1098"/>
      <c r="I4" s="1098"/>
      <c r="J4" s="1098"/>
      <c r="K4" s="1098"/>
      <c r="L4" s="1098"/>
    </row>
    <row r="5" spans="1:25" ht="27" customHeight="1" thickBot="1" x14ac:dyDescent="0.35">
      <c r="B5" s="189"/>
      <c r="C5" s="189"/>
      <c r="T5" s="798"/>
      <c r="U5" s="798"/>
      <c r="V5" s="798"/>
      <c r="W5" s="798"/>
      <c r="X5" s="798"/>
      <c r="Y5" s="798"/>
    </row>
    <row r="6" spans="1:25" ht="27" customHeight="1" x14ac:dyDescent="0.4">
      <c r="B6" s="256" t="s">
        <v>399</v>
      </c>
      <c r="C6" s="221"/>
      <c r="D6" s="222"/>
      <c r="E6" s="222"/>
      <c r="F6" s="222"/>
      <c r="G6" s="222"/>
      <c r="H6" s="222"/>
      <c r="I6" s="222"/>
      <c r="J6" s="222"/>
      <c r="K6" s="222"/>
      <c r="L6" s="222"/>
      <c r="M6" s="223"/>
      <c r="T6" s="446" t="str">
        <f t="shared" ref="T6:T11" si="0">C10</f>
        <v>Frö</v>
      </c>
      <c r="U6" s="447" t="e">
        <f>F10</f>
        <v>#DIV/0!</v>
      </c>
      <c r="V6" s="798"/>
      <c r="W6" s="798"/>
      <c r="X6" s="798"/>
      <c r="Y6" s="798"/>
    </row>
    <row r="7" spans="1:25" ht="27" customHeight="1" x14ac:dyDescent="0.4">
      <c r="B7" s="224"/>
      <c r="C7" s="225"/>
      <c r="D7" s="116"/>
      <c r="E7" s="116"/>
      <c r="F7" s="116"/>
      <c r="G7" s="116"/>
      <c r="H7" s="116"/>
      <c r="I7" s="116"/>
      <c r="J7" s="116"/>
      <c r="K7" s="116"/>
      <c r="L7" s="116"/>
      <c r="M7" s="226"/>
      <c r="T7" s="446" t="str">
        <f t="shared" si="0"/>
        <v>Substrat</v>
      </c>
      <c r="U7" s="447" t="e">
        <f t="shared" ref="U7:U11" si="1">F11</f>
        <v>#DIV/0!</v>
      </c>
      <c r="V7" s="798"/>
      <c r="W7" s="798"/>
      <c r="X7" s="798"/>
      <c r="Y7" s="798"/>
    </row>
    <row r="8" spans="1:25" ht="21" x14ac:dyDescent="0.4">
      <c r="B8" s="257" t="s">
        <v>186</v>
      </c>
      <c r="C8" s="225"/>
      <c r="D8" s="116"/>
      <c r="E8" s="116"/>
      <c r="F8" s="116"/>
      <c r="G8" s="116"/>
      <c r="H8" s="116"/>
      <c r="I8" s="116"/>
      <c r="J8" s="232"/>
      <c r="K8" s="116"/>
      <c r="L8" s="116"/>
      <c r="M8" s="226"/>
      <c r="O8" s="762"/>
      <c r="P8" s="69"/>
      <c r="Q8" s="761"/>
      <c r="R8" s="69"/>
      <c r="S8" s="760"/>
      <c r="T8" s="446" t="str">
        <f t="shared" si="0"/>
        <v>Gödsel och kalk</v>
      </c>
      <c r="U8" s="447" t="e">
        <f t="shared" si="1"/>
        <v>#DIV/0!</v>
      </c>
      <c r="V8" s="798"/>
      <c r="W8" s="798"/>
      <c r="X8" s="798"/>
      <c r="Y8" s="798"/>
    </row>
    <row r="9" spans="1:25" s="56" customFormat="1" ht="16.95" customHeight="1" x14ac:dyDescent="0.3">
      <c r="A9" s="746"/>
      <c r="B9" s="235"/>
      <c r="C9" s="245"/>
      <c r="D9" s="249"/>
      <c r="E9" s="249"/>
      <c r="F9" s="250"/>
      <c r="G9" s="120"/>
      <c r="H9" s="249"/>
      <c r="I9" s="249"/>
      <c r="J9" s="249"/>
      <c r="K9" s="249"/>
      <c r="L9" s="249"/>
      <c r="M9" s="234"/>
      <c r="N9"/>
      <c r="O9" s="762"/>
      <c r="P9" s="69"/>
      <c r="Q9" s="761"/>
      <c r="R9" s="69"/>
      <c r="S9" s="760"/>
      <c r="T9" s="446" t="str">
        <f t="shared" si="0"/>
        <v>IPM växtskydd</v>
      </c>
      <c r="U9" s="447" t="e">
        <f t="shared" si="1"/>
        <v>#DIV/0!</v>
      </c>
      <c r="V9" s="800"/>
      <c r="W9" s="800"/>
      <c r="X9" s="800"/>
      <c r="Y9" s="800"/>
    </row>
    <row r="10" spans="1:25" s="69" customFormat="1" ht="16.95" customHeight="1" x14ac:dyDescent="0.25">
      <c r="A10" s="746"/>
      <c r="B10" s="235"/>
      <c r="C10" s="228" t="s">
        <v>218</v>
      </c>
      <c r="D10" s="236"/>
      <c r="E10" s="236"/>
      <c r="F10" s="247" t="e">
        <f>J10/'Gårdens info'!$D$23*100</f>
        <v>#DIV/0!</v>
      </c>
      <c r="G10" s="119" t="s">
        <v>400</v>
      </c>
      <c r="H10" s="503">
        <f>J10/'Gårdens info'!$G$23</f>
        <v>0</v>
      </c>
      <c r="I10" s="119" t="s">
        <v>401</v>
      </c>
      <c r="J10" s="237">
        <f>J41</f>
        <v>0</v>
      </c>
      <c r="K10" s="119" t="s">
        <v>402</v>
      </c>
      <c r="L10" s="236"/>
      <c r="M10" s="239"/>
      <c r="O10" s="762"/>
      <c r="Q10" s="761"/>
      <c r="S10" s="760"/>
      <c r="T10" s="446" t="str">
        <f t="shared" si="0"/>
        <v>Energikostnader</v>
      </c>
      <c r="U10" s="447" t="e">
        <f t="shared" si="1"/>
        <v>#DIV/0!</v>
      </c>
      <c r="V10" s="799"/>
      <c r="W10" s="799"/>
      <c r="X10" s="799"/>
      <c r="Y10" s="799"/>
    </row>
    <row r="11" spans="1:25" s="69" customFormat="1" ht="16.95" customHeight="1" x14ac:dyDescent="0.25">
      <c r="A11" s="746"/>
      <c r="B11" s="235"/>
      <c r="C11" s="228" t="s">
        <v>403</v>
      </c>
      <c r="D11" s="236"/>
      <c r="E11" s="236"/>
      <c r="F11" s="247" t="e">
        <f>J11/'Gårdens info'!$D$23*100</f>
        <v>#DIV/0!</v>
      </c>
      <c r="G11" s="119" t="s">
        <v>400</v>
      </c>
      <c r="H11" s="503">
        <f>J11/'Gårdens info'!$G$23</f>
        <v>0</v>
      </c>
      <c r="I11" s="119" t="s">
        <v>401</v>
      </c>
      <c r="J11" s="237">
        <f>J48</f>
        <v>0</v>
      </c>
      <c r="K11" s="119" t="s">
        <v>402</v>
      </c>
      <c r="L11" s="236"/>
      <c r="M11" s="239"/>
      <c r="O11" s="762"/>
      <c r="Q11" s="761"/>
      <c r="S11" s="760"/>
      <c r="T11" s="446" t="str">
        <f t="shared" si="0"/>
        <v>Anställd arbetskraft</v>
      </c>
      <c r="U11" s="447" t="e">
        <f t="shared" si="1"/>
        <v>#DIV/0!</v>
      </c>
      <c r="V11" s="799"/>
      <c r="W11" s="799"/>
      <c r="X11" s="799"/>
      <c r="Y11" s="799"/>
    </row>
    <row r="12" spans="1:25" s="69" customFormat="1" ht="15" x14ac:dyDescent="0.25">
      <c r="A12" s="746"/>
      <c r="B12" s="235"/>
      <c r="C12" s="228" t="s">
        <v>219</v>
      </c>
      <c r="D12" s="236"/>
      <c r="E12" s="236"/>
      <c r="F12" s="247" t="e">
        <f>J12/'Gårdens info'!$D$23*100</f>
        <v>#DIV/0!</v>
      </c>
      <c r="G12" s="119" t="s">
        <v>400</v>
      </c>
      <c r="H12" s="503">
        <f>J12/'Gårdens info'!$G$23</f>
        <v>1.4869565217391304E-2</v>
      </c>
      <c r="I12" s="119" t="s">
        <v>401</v>
      </c>
      <c r="J12" s="237">
        <f>J56</f>
        <v>684</v>
      </c>
      <c r="K12" s="119" t="s">
        <v>402</v>
      </c>
      <c r="L12" s="236"/>
      <c r="M12" s="239"/>
      <c r="N12"/>
      <c r="O12" s="762"/>
      <c r="Q12" s="761"/>
      <c r="S12" s="760"/>
      <c r="T12" s="384" t="str">
        <f>B27</f>
        <v>Fasta kostnader sammanlagt</v>
      </c>
      <c r="U12" s="447" t="e">
        <f>F27</f>
        <v>#DIV/0!</v>
      </c>
      <c r="V12" s="799"/>
      <c r="W12" s="799"/>
      <c r="X12" s="799"/>
      <c r="Y12" s="799"/>
    </row>
    <row r="13" spans="1:25" s="69" customFormat="1" ht="17.399999999999999" x14ac:dyDescent="0.3">
      <c r="A13" s="746"/>
      <c r="B13" s="235"/>
      <c r="C13" s="228" t="s">
        <v>404</v>
      </c>
      <c r="D13" s="236"/>
      <c r="E13" s="236"/>
      <c r="F13" s="247" t="e">
        <f>J13/'Gårdens info'!$D$23*100</f>
        <v>#DIV/0!</v>
      </c>
      <c r="G13" s="119" t="s">
        <v>400</v>
      </c>
      <c r="H13" s="503">
        <f>J13/'Gårdens info'!$G$23</f>
        <v>0</v>
      </c>
      <c r="I13" s="119" t="s">
        <v>401</v>
      </c>
      <c r="J13" s="237">
        <f>J71</f>
        <v>0</v>
      </c>
      <c r="K13" s="119" t="s">
        <v>402</v>
      </c>
      <c r="L13" s="236"/>
      <c r="M13" s="239"/>
      <c r="N13" s="56"/>
      <c r="O13" s="1101"/>
      <c r="P13" s="1101"/>
      <c r="Q13" s="1101"/>
      <c r="R13" s="56"/>
      <c r="S13" s="763"/>
      <c r="T13" s="382" t="str">
        <f>B29</f>
        <v>Lönekrav för eget arbete</v>
      </c>
      <c r="U13" s="447" t="e">
        <f>F30</f>
        <v>#DIV/0!</v>
      </c>
      <c r="V13" s="799"/>
      <c r="W13" s="799"/>
      <c r="X13" s="799"/>
      <c r="Y13" s="799"/>
    </row>
    <row r="14" spans="1:25" s="69" customFormat="1" ht="15.6" x14ac:dyDescent="0.3">
      <c r="A14" s="746"/>
      <c r="B14" s="235"/>
      <c r="C14" s="228" t="s">
        <v>224</v>
      </c>
      <c r="D14" s="236"/>
      <c r="E14" s="236"/>
      <c r="F14" s="247" t="e">
        <f>J14/'Gårdens info'!$D$23*100</f>
        <v>#DIV/0!</v>
      </c>
      <c r="G14" s="119" t="s">
        <v>400</v>
      </c>
      <c r="H14" s="503">
        <f>J14/'Gårdens info'!$G$23</f>
        <v>1.9622608695652174E-2</v>
      </c>
      <c r="I14" s="119" t="s">
        <v>401</v>
      </c>
      <c r="J14" s="237">
        <f>J81</f>
        <v>902.6400000000001</v>
      </c>
      <c r="K14" s="119" t="s">
        <v>402</v>
      </c>
      <c r="L14" s="236"/>
      <c r="M14" s="239"/>
      <c r="T14" s="382"/>
      <c r="U14" s="385"/>
      <c r="V14" s="799"/>
      <c r="W14" s="799"/>
      <c r="X14" s="799"/>
      <c r="Y14" s="799"/>
    </row>
    <row r="15" spans="1:25" s="69" customFormat="1" ht="15" x14ac:dyDescent="0.25">
      <c r="A15" s="746"/>
      <c r="B15" s="235"/>
      <c r="C15" s="228" t="s">
        <v>225</v>
      </c>
      <c r="D15" s="236"/>
      <c r="E15" s="236"/>
      <c r="F15" s="247" t="e">
        <f>J15/'Gårdens info'!$D$23*100</f>
        <v>#DIV/0!</v>
      </c>
      <c r="G15" s="119" t="s">
        <v>400</v>
      </c>
      <c r="H15" s="503">
        <f>J15/'Gårdens info'!$G$23</f>
        <v>0</v>
      </c>
      <c r="I15" s="119" t="s">
        <v>401</v>
      </c>
      <c r="J15" s="237">
        <f>J98*L98</f>
        <v>0</v>
      </c>
      <c r="K15" s="119" t="s">
        <v>402</v>
      </c>
      <c r="L15" s="236"/>
      <c r="M15" s="239"/>
      <c r="T15" s="799"/>
      <c r="U15" s="802"/>
      <c r="V15" s="799"/>
      <c r="W15" s="799"/>
      <c r="X15" s="799"/>
      <c r="Y15" s="799"/>
    </row>
    <row r="16" spans="1:25" s="56" customFormat="1" ht="17.399999999999999" x14ac:dyDescent="0.3">
      <c r="A16" s="747"/>
      <c r="B16" s="231"/>
      <c r="C16" s="245"/>
      <c r="D16" s="246"/>
      <c r="E16" s="246"/>
      <c r="F16" s="247"/>
      <c r="G16" s="119"/>
      <c r="H16" s="505"/>
      <c r="I16" s="246"/>
      <c r="J16" s="246"/>
      <c r="K16" s="246"/>
      <c r="L16" s="246"/>
      <c r="M16" s="226"/>
      <c r="N16" s="69"/>
      <c r="O16" s="69"/>
      <c r="P16" s="69"/>
      <c r="R16" s="69"/>
      <c r="S16" s="69"/>
      <c r="T16" s="799"/>
      <c r="U16" s="802"/>
      <c r="V16" s="800"/>
      <c r="W16" s="800"/>
      <c r="X16" s="800"/>
      <c r="Y16" s="800"/>
    </row>
    <row r="17" spans="1:25" s="69" customFormat="1" ht="21" x14ac:dyDescent="0.4">
      <c r="A17" s="746"/>
      <c r="B17" s="1061" t="s">
        <v>189</v>
      </c>
      <c r="C17" s="1043"/>
      <c r="D17" s="1043"/>
      <c r="E17" s="262"/>
      <c r="F17" s="266" t="e">
        <f>SUM(F10:F15)</f>
        <v>#DIV/0!</v>
      </c>
      <c r="G17" s="267" t="s">
        <v>57</v>
      </c>
      <c r="H17" s="507">
        <f>SUM(H10:H15)</f>
        <v>3.4492173913043475E-2</v>
      </c>
      <c r="I17" s="267" t="s">
        <v>206</v>
      </c>
      <c r="J17" s="269">
        <f>SUM(J10:J15)</f>
        <v>1586.64</v>
      </c>
      <c r="K17" s="267" t="s">
        <v>402</v>
      </c>
      <c r="L17" s="267"/>
      <c r="M17" s="259"/>
      <c r="T17" s="799"/>
      <c r="U17" s="799"/>
      <c r="V17" s="799"/>
      <c r="W17" s="799"/>
      <c r="X17" s="799"/>
      <c r="Y17" s="799"/>
    </row>
    <row r="18" spans="1:25" s="69" customFormat="1" ht="21" x14ac:dyDescent="0.4">
      <c r="A18" s="746"/>
      <c r="B18" s="288"/>
      <c r="C18" s="270"/>
      <c r="D18" s="270"/>
      <c r="E18" s="262"/>
      <c r="F18" s="266"/>
      <c r="G18" s="267"/>
      <c r="H18" s="268"/>
      <c r="I18" s="267"/>
      <c r="J18" s="269"/>
      <c r="K18" s="267"/>
      <c r="L18" s="267"/>
      <c r="M18" s="259"/>
      <c r="T18" s="799"/>
      <c r="U18" s="799"/>
      <c r="V18" s="799"/>
      <c r="W18" s="799"/>
      <c r="X18" s="799"/>
      <c r="Y18" s="799"/>
    </row>
    <row r="19" spans="1:25" s="69" customFormat="1" ht="21" x14ac:dyDescent="0.4">
      <c r="A19" s="746"/>
      <c r="B19" s="257" t="s">
        <v>388</v>
      </c>
      <c r="C19" s="225"/>
      <c r="D19" s="116"/>
      <c r="E19" s="116"/>
      <c r="F19" s="116"/>
      <c r="G19" s="116"/>
      <c r="H19" s="116"/>
      <c r="I19" s="116"/>
      <c r="J19" s="232"/>
      <c r="K19" s="116"/>
      <c r="L19" s="116"/>
      <c r="M19" s="226"/>
      <c r="T19" s="799"/>
      <c r="U19" s="799"/>
      <c r="V19" s="799"/>
      <c r="W19" s="799"/>
      <c r="X19" s="799"/>
      <c r="Y19" s="799"/>
    </row>
    <row r="20" spans="1:25" s="69" customFormat="1" ht="21" x14ac:dyDescent="0.4">
      <c r="A20" s="746"/>
      <c r="B20" s="793" t="s">
        <v>405</v>
      </c>
      <c r="C20" s="794"/>
      <c r="D20" s="270"/>
      <c r="E20" s="262"/>
      <c r="F20" s="266"/>
      <c r="G20" s="267"/>
      <c r="H20" s="268"/>
      <c r="I20" s="267"/>
      <c r="J20" s="269"/>
      <c r="K20" s="267"/>
      <c r="L20" s="267"/>
      <c r="M20" s="259"/>
      <c r="T20" s="799"/>
      <c r="U20" s="799"/>
      <c r="V20" s="799"/>
      <c r="W20" s="799"/>
      <c r="X20" s="799"/>
      <c r="Y20" s="799"/>
    </row>
    <row r="21" spans="1:25" s="69" customFormat="1" ht="21" x14ac:dyDescent="0.4">
      <c r="A21" s="746"/>
      <c r="B21" s="287"/>
      <c r="C21" s="274" t="s">
        <v>229</v>
      </c>
      <c r="D21" s="270"/>
      <c r="E21" s="262"/>
      <c r="F21" s="276" t="e">
        <f>J21/'Gårdens info'!$D$23*100</f>
        <v>#DIV/0!</v>
      </c>
      <c r="G21" s="119" t="s">
        <v>400</v>
      </c>
      <c r="H21" s="502">
        <f>J21/'Gårdens info'!$G$23</f>
        <v>8.2515652173913046E-2</v>
      </c>
      <c r="I21" s="119" t="s">
        <v>401</v>
      </c>
      <c r="J21" s="237">
        <f>N124</f>
        <v>3795.7200000000003</v>
      </c>
      <c r="K21" s="119" t="s">
        <v>402</v>
      </c>
      <c r="L21" s="267"/>
      <c r="M21" s="259"/>
      <c r="T21" s="799"/>
      <c r="U21" s="799"/>
      <c r="V21" s="799"/>
      <c r="W21" s="799"/>
      <c r="X21" s="799"/>
      <c r="Y21" s="799"/>
    </row>
    <row r="22" spans="1:25" s="192" customFormat="1" ht="21" x14ac:dyDescent="0.4">
      <c r="A22" s="748"/>
      <c r="B22" s="287"/>
      <c r="C22" s="274" t="s">
        <v>230</v>
      </c>
      <c r="D22" s="270"/>
      <c r="E22" s="262"/>
      <c r="F22" s="276" t="e">
        <f>J22/'Gårdens info'!$D$23*100</f>
        <v>#DIV/0!</v>
      </c>
      <c r="G22" s="119" t="s">
        <v>400</v>
      </c>
      <c r="H22" s="502">
        <f>J22/'Gårdens info'!$G$23</f>
        <v>2.6423152173913046E-2</v>
      </c>
      <c r="I22" s="119" t="s">
        <v>401</v>
      </c>
      <c r="J22" s="237">
        <f>O124</f>
        <v>1215.4650000000001</v>
      </c>
      <c r="K22" s="119" t="s">
        <v>402</v>
      </c>
      <c r="L22" s="267"/>
      <c r="M22" s="259"/>
      <c r="N22" s="69"/>
      <c r="O22" s="69"/>
      <c r="P22" s="69"/>
      <c r="S22" s="69"/>
      <c r="T22" s="799"/>
      <c r="U22" s="799"/>
      <c r="V22" s="801"/>
      <c r="W22" s="801"/>
      <c r="X22" s="801"/>
      <c r="Y22" s="801"/>
    </row>
    <row r="23" spans="1:25" ht="17.399999999999999" customHeight="1" x14ac:dyDescent="0.3">
      <c r="B23" s="287"/>
      <c r="C23" s="1083" t="s">
        <v>232</v>
      </c>
      <c r="D23" s="1083"/>
      <c r="E23" s="262"/>
      <c r="F23" s="276" t="e">
        <f>J23/'Gårdens info'!$D$23*100</f>
        <v>#DIV/0!</v>
      </c>
      <c r="G23" s="119" t="s">
        <v>400</v>
      </c>
      <c r="H23" s="502">
        <f>J23/'Gårdens info'!$G$23</f>
        <v>1.0569260869565219E-2</v>
      </c>
      <c r="I23" s="119" t="s">
        <v>401</v>
      </c>
      <c r="J23" s="237">
        <f>P124</f>
        <v>486.18600000000004</v>
      </c>
      <c r="K23" s="119" t="s">
        <v>402</v>
      </c>
      <c r="L23" s="267"/>
      <c r="M23" s="259"/>
      <c r="N23" s="69"/>
      <c r="O23" s="69"/>
      <c r="P23" s="69"/>
      <c r="S23" s="69"/>
      <c r="T23" s="799"/>
      <c r="U23" s="799"/>
      <c r="V23" s="798"/>
      <c r="W23" s="798"/>
      <c r="X23" s="798"/>
      <c r="Y23" s="798"/>
    </row>
    <row r="24" spans="1:25" ht="21" x14ac:dyDescent="0.4">
      <c r="B24" s="287"/>
      <c r="C24" s="274" t="s">
        <v>234</v>
      </c>
      <c r="D24" s="270"/>
      <c r="E24" s="262"/>
      <c r="F24" s="276" t="e">
        <f>J24/'Gårdens info'!$D$23*100</f>
        <v>#DIV/0!</v>
      </c>
      <c r="G24" s="119" t="s">
        <v>400</v>
      </c>
      <c r="H24" s="502">
        <f>J24/'Gårdens info'!$G$23</f>
        <v>2.1138521739130435E-3</v>
      </c>
      <c r="I24" s="119" t="s">
        <v>401</v>
      </c>
      <c r="J24" s="237">
        <f>Q124</f>
        <v>97.237200000000001</v>
      </c>
      <c r="K24" s="119" t="s">
        <v>402</v>
      </c>
      <c r="L24" s="267"/>
      <c r="M24" s="259"/>
      <c r="N24" s="192"/>
      <c r="O24" s="192"/>
      <c r="P24" s="192"/>
      <c r="S24" s="192"/>
      <c r="T24" s="192"/>
      <c r="U24" s="192"/>
    </row>
    <row r="25" spans="1:25" ht="20.399999999999999" x14ac:dyDescent="0.35">
      <c r="B25" s="289"/>
      <c r="C25" s="278" t="s">
        <v>54</v>
      </c>
      <c r="D25" s="279"/>
      <c r="E25" s="262"/>
      <c r="F25" s="276" t="e">
        <f>SUM(F21:F24)</f>
        <v>#DIV/0!</v>
      </c>
      <c r="G25" s="119" t="s">
        <v>400</v>
      </c>
      <c r="H25" s="502">
        <f>SUM(H21:H24)</f>
        <v>0.12162191739130436</v>
      </c>
      <c r="I25" s="119" t="s">
        <v>401</v>
      </c>
      <c r="J25" s="280">
        <f>SUM(J21:J24)</f>
        <v>5594.6081999999997</v>
      </c>
      <c r="K25" s="119" t="s">
        <v>402</v>
      </c>
      <c r="L25" s="281"/>
      <c r="M25" s="259"/>
    </row>
    <row r="26" spans="1:25" s="69" customFormat="1" ht="21" x14ac:dyDescent="0.4">
      <c r="A26" s="746"/>
      <c r="B26" s="287"/>
      <c r="C26" s="274"/>
      <c r="D26" s="270"/>
      <c r="E26" s="262"/>
      <c r="F26" s="276"/>
      <c r="G26" s="119"/>
      <c r="H26" s="277"/>
      <c r="I26" s="119"/>
      <c r="J26" s="237"/>
      <c r="K26" s="119"/>
      <c r="L26" s="267"/>
      <c r="M26" s="259"/>
      <c r="N26"/>
      <c r="O26"/>
      <c r="P26"/>
      <c r="S26"/>
      <c r="T26"/>
      <c r="U26"/>
    </row>
    <row r="27" spans="1:25" s="5" customFormat="1" ht="21" x14ac:dyDescent="0.4">
      <c r="A27" s="745"/>
      <c r="B27" s="1061" t="s">
        <v>191</v>
      </c>
      <c r="C27" s="1043"/>
      <c r="D27" s="1043"/>
      <c r="E27" s="262"/>
      <c r="F27" s="266" t="e">
        <f>F25</f>
        <v>#DIV/0!</v>
      </c>
      <c r="G27" s="267" t="s">
        <v>406</v>
      </c>
      <c r="H27" s="507">
        <f>H25</f>
        <v>0.12162191739130436</v>
      </c>
      <c r="I27" s="267" t="s">
        <v>401</v>
      </c>
      <c r="J27" s="269">
        <f>J25</f>
        <v>5594.6081999999997</v>
      </c>
      <c r="K27" s="267" t="s">
        <v>402</v>
      </c>
      <c r="L27" s="267"/>
      <c r="M27" s="259"/>
    </row>
    <row r="28" spans="1:25" s="5" customFormat="1" ht="15.6" x14ac:dyDescent="0.3">
      <c r="A28" s="745"/>
      <c r="B28" s="286"/>
      <c r="C28" s="262"/>
      <c r="D28" s="262"/>
      <c r="E28" s="262"/>
      <c r="F28" s="263"/>
      <c r="G28" s="243"/>
      <c r="H28" s="264"/>
      <c r="I28" s="243"/>
      <c r="J28" s="258"/>
      <c r="K28" s="243"/>
      <c r="L28" s="265"/>
      <c r="M28" s="259"/>
    </row>
    <row r="29" spans="1:25" s="5" customFormat="1" ht="21" x14ac:dyDescent="0.4">
      <c r="A29" s="745"/>
      <c r="B29" s="257" t="s">
        <v>192</v>
      </c>
      <c r="C29" s="262"/>
      <c r="D29" s="262"/>
      <c r="E29" s="262"/>
      <c r="F29" s="263"/>
      <c r="G29" s="243"/>
      <c r="H29" s="264"/>
      <c r="I29" s="243"/>
      <c r="J29" s="258"/>
      <c r="K29" s="243"/>
      <c r="L29" s="265"/>
      <c r="M29" s="259"/>
    </row>
    <row r="30" spans="1:25" s="5" customFormat="1" ht="15" x14ac:dyDescent="0.25">
      <c r="A30" s="745"/>
      <c r="B30" s="235"/>
      <c r="C30" s="228" t="s">
        <v>192</v>
      </c>
      <c r="D30" s="236"/>
      <c r="E30" s="236"/>
      <c r="F30" s="276" t="e">
        <f>J30/'Gårdens info'!$D$23*100</f>
        <v>#DIV/0!</v>
      </c>
      <c r="G30" s="119" t="s">
        <v>400</v>
      </c>
      <c r="H30" s="502">
        <f>J30/'Gårdens info'!$G$23</f>
        <v>2.773913043478261E-2</v>
      </c>
      <c r="I30" s="119" t="s">
        <v>401</v>
      </c>
      <c r="J30" s="237">
        <f>H98</f>
        <v>1276</v>
      </c>
      <c r="K30" s="119" t="s">
        <v>402</v>
      </c>
      <c r="L30" s="236"/>
      <c r="M30" s="239"/>
    </row>
    <row r="31" spans="1:25" s="5" customFormat="1" ht="17.399999999999999" x14ac:dyDescent="0.3">
      <c r="A31" s="745"/>
      <c r="B31" s="248"/>
      <c r="C31" s="245"/>
      <c r="D31" s="249"/>
      <c r="E31" s="249"/>
      <c r="F31" s="250"/>
      <c r="G31" s="120"/>
      <c r="H31" s="249"/>
      <c r="I31" s="249"/>
      <c r="J31" s="249"/>
      <c r="K31" s="249"/>
      <c r="L31" s="249"/>
      <c r="M31" s="234"/>
    </row>
    <row r="32" spans="1:25" s="5" customFormat="1" ht="21" x14ac:dyDescent="0.4">
      <c r="A32" s="745"/>
      <c r="B32" s="1061" t="s">
        <v>194</v>
      </c>
      <c r="C32" s="1043"/>
      <c r="D32" s="1043"/>
      <c r="E32" s="262"/>
      <c r="F32" s="266" t="e">
        <f>F30</f>
        <v>#DIV/0!</v>
      </c>
      <c r="G32" s="267" t="s">
        <v>406</v>
      </c>
      <c r="H32" s="507">
        <f>H30</f>
        <v>2.773913043478261E-2</v>
      </c>
      <c r="I32" s="267" t="s">
        <v>401</v>
      </c>
      <c r="J32" s="269">
        <f>J30</f>
        <v>1276</v>
      </c>
      <c r="K32" s="267" t="s">
        <v>402</v>
      </c>
      <c r="L32" s="267"/>
      <c r="M32" s="259"/>
    </row>
    <row r="33" spans="1:21" s="5" customFormat="1" ht="21" x14ac:dyDescent="0.4">
      <c r="A33" s="745"/>
      <c r="B33" s="288"/>
      <c r="C33" s="270"/>
      <c r="D33" s="270"/>
      <c r="E33" s="262"/>
      <c r="F33" s="266"/>
      <c r="G33" s="267"/>
      <c r="H33" s="507"/>
      <c r="I33" s="267"/>
      <c r="J33" s="269"/>
      <c r="K33" s="267"/>
      <c r="L33" s="267"/>
      <c r="M33" s="259"/>
    </row>
    <row r="34" spans="1:21" s="5" customFormat="1" ht="21" x14ac:dyDescent="0.4">
      <c r="A34" s="745"/>
      <c r="B34" s="1061" t="s">
        <v>195</v>
      </c>
      <c r="C34" s="1043"/>
      <c r="D34" s="1043"/>
      <c r="E34" s="262"/>
      <c r="F34" s="266" t="e">
        <f>F17+F27+F32</f>
        <v>#DIV/0!</v>
      </c>
      <c r="G34" s="267" t="s">
        <v>406</v>
      </c>
      <c r="H34" s="572">
        <f>H17+H27+H32</f>
        <v>0.18385322173913043</v>
      </c>
      <c r="I34" s="267" t="s">
        <v>401</v>
      </c>
      <c r="J34" s="266">
        <f>J17+J27+J32</f>
        <v>8457.2482</v>
      </c>
      <c r="K34" s="267" t="s">
        <v>402</v>
      </c>
      <c r="L34" s="267"/>
      <c r="M34" s="259"/>
    </row>
    <row r="35" spans="1:21" s="5" customFormat="1" ht="21.6" thickBot="1" x14ac:dyDescent="0.45">
      <c r="A35" s="745"/>
      <c r="B35" s="795"/>
      <c r="C35" s="796"/>
      <c r="D35" s="796"/>
      <c r="E35" s="796"/>
      <c r="F35" s="796"/>
      <c r="G35" s="796"/>
      <c r="H35" s="796"/>
      <c r="I35" s="796"/>
      <c r="J35" s="796"/>
      <c r="K35" s="796"/>
      <c r="L35" s="796"/>
      <c r="M35" s="797"/>
    </row>
    <row r="36" spans="1:21" s="194" customFormat="1" ht="16.2" thickBot="1" x14ac:dyDescent="0.35">
      <c r="A36" s="749"/>
      <c r="B36"/>
      <c r="C36"/>
      <c r="D36"/>
      <c r="E36"/>
      <c r="F36"/>
      <c r="G36"/>
      <c r="H36"/>
      <c r="I36"/>
      <c r="J36"/>
      <c r="K36"/>
      <c r="L36"/>
      <c r="M36"/>
      <c r="N36" s="5"/>
      <c r="O36" s="5"/>
      <c r="P36" s="5"/>
      <c r="Q36" s="5"/>
      <c r="R36" s="5"/>
      <c r="S36" s="5"/>
      <c r="T36" s="5"/>
      <c r="U36" s="5"/>
    </row>
    <row r="37" spans="1:21" s="5" customFormat="1" ht="21.6" thickBot="1" x14ac:dyDescent="0.45">
      <c r="A37" s="745"/>
      <c r="B37" s="1078" t="s">
        <v>407</v>
      </c>
      <c r="C37" s="1079"/>
      <c r="D37" s="1079"/>
      <c r="E37" s="1080"/>
      <c r="F37"/>
      <c r="G37"/>
      <c r="H37"/>
      <c r="I37"/>
      <c r="J37"/>
      <c r="K37"/>
      <c r="L37" s="1099" t="s">
        <v>241</v>
      </c>
      <c r="M37" s="1099"/>
    </row>
    <row r="38" spans="1:21" s="5" customFormat="1" ht="21" x14ac:dyDescent="0.4">
      <c r="A38" s="745"/>
      <c r="B38" s="334"/>
      <c r="C38" s="334"/>
      <c r="D38" s="334"/>
      <c r="E38" s="334"/>
      <c r="F38" s="116"/>
      <c r="G38" s="116"/>
      <c r="H38" s="116"/>
      <c r="I38" s="116"/>
      <c r="J38" s="116"/>
      <c r="K38" s="116"/>
      <c r="L38" s="461"/>
      <c r="M38" s="461"/>
    </row>
    <row r="39" spans="1:21" ht="31.95" customHeight="1" x14ac:dyDescent="0.3">
      <c r="B39" s="89" t="s">
        <v>390</v>
      </c>
      <c r="C39" s="44"/>
      <c r="D39" s="44"/>
      <c r="E39" s="44"/>
      <c r="F39" s="1077" t="s">
        <v>114</v>
      </c>
      <c r="G39" s="1077"/>
      <c r="H39" s="1077" t="s">
        <v>113</v>
      </c>
      <c r="I39" s="1077"/>
      <c r="J39" s="111" t="s">
        <v>408</v>
      </c>
      <c r="K39" s="922"/>
      <c r="L39" s="111"/>
      <c r="M39" s="46"/>
    </row>
    <row r="40" spans="1:21" ht="13.8" thickBot="1" x14ac:dyDescent="0.3">
      <c r="B40" s="48"/>
      <c r="C40" s="44"/>
      <c r="D40" s="44"/>
      <c r="E40" s="44"/>
      <c r="F40" s="44"/>
      <c r="G40" s="44"/>
      <c r="H40" s="44"/>
      <c r="I40" s="44"/>
      <c r="J40" s="46"/>
      <c r="K40" s="46"/>
      <c r="L40" s="46"/>
      <c r="M40" s="46"/>
    </row>
    <row r="41" spans="1:21" ht="13.8" thickBot="1" x14ac:dyDescent="0.3">
      <c r="B41" s="44"/>
      <c r="C41" s="45" t="s">
        <v>409</v>
      </c>
      <c r="D41" s="46"/>
      <c r="E41" s="44"/>
      <c r="F41" s="74">
        <v>7600</v>
      </c>
      <c r="G41" s="44" t="s">
        <v>410</v>
      </c>
      <c r="H41" s="74">
        <v>2.9000000000000001E-2</v>
      </c>
      <c r="I41" s="49" t="s">
        <v>246</v>
      </c>
      <c r="J41" s="191">
        <f>F41*H41*'Gårdens info'!D23/100</f>
        <v>0</v>
      </c>
      <c r="K41" s="44" t="s">
        <v>411</v>
      </c>
      <c r="L41" s="44"/>
      <c r="M41" s="46"/>
    </row>
    <row r="42" spans="1:21" s="5" customFormat="1" x14ac:dyDescent="0.25">
      <c r="A42" s="745"/>
      <c r="B42" s="50"/>
      <c r="C42" s="50"/>
      <c r="D42" s="466"/>
      <c r="E42" s="50"/>
      <c r="F42" s="218"/>
      <c r="G42" s="50"/>
      <c r="H42" s="467"/>
      <c r="I42" s="219"/>
      <c r="J42" s="220"/>
      <c r="K42" s="50"/>
      <c r="L42" s="50"/>
      <c r="M42" s="50"/>
    </row>
    <row r="43" spans="1:21" x14ac:dyDescent="0.25">
      <c r="B43" s="435"/>
      <c r="C43" s="435"/>
      <c r="D43" s="464"/>
      <c r="E43" s="435"/>
      <c r="F43" s="465"/>
      <c r="G43" s="435"/>
      <c r="H43" s="246"/>
      <c r="I43" s="437"/>
      <c r="J43" s="232"/>
      <c r="K43" s="435"/>
      <c r="L43" s="116"/>
      <c r="M43" s="116"/>
    </row>
    <row r="44" spans="1:21" ht="43.95" customHeight="1" x14ac:dyDescent="0.3">
      <c r="B44" s="750" t="s">
        <v>412</v>
      </c>
      <c r="C44" s="751"/>
      <c r="D44" s="752"/>
      <c r="E44" s="751"/>
      <c r="F44" s="1102" t="s">
        <v>114</v>
      </c>
      <c r="G44" s="1102"/>
      <c r="H44" s="1102" t="s">
        <v>113</v>
      </c>
      <c r="I44" s="1102"/>
      <c r="J44" s="549" t="s">
        <v>408</v>
      </c>
      <c r="K44" s="549"/>
      <c r="L44" s="549"/>
      <c r="M44" s="549"/>
    </row>
    <row r="45" spans="1:21" ht="13.8" thickBot="1" x14ac:dyDescent="0.3">
      <c r="B45" s="751"/>
      <c r="C45" s="751"/>
      <c r="D45" s="752"/>
      <c r="E45" s="751"/>
      <c r="F45" s="751"/>
      <c r="G45" s="751"/>
      <c r="H45" s="751"/>
      <c r="I45" s="751"/>
      <c r="J45" s="547"/>
      <c r="K45" s="547"/>
      <c r="L45" s="547"/>
      <c r="M45" s="547"/>
    </row>
    <row r="46" spans="1:21" ht="13.8" thickBot="1" x14ac:dyDescent="0.3">
      <c r="B46" s="751"/>
      <c r="C46" s="751" t="s">
        <v>413</v>
      </c>
      <c r="D46" s="752"/>
      <c r="E46" s="751"/>
      <c r="F46" s="74">
        <v>2.1</v>
      </c>
      <c r="G46" s="751" t="s">
        <v>414</v>
      </c>
      <c r="H46" s="74">
        <v>115</v>
      </c>
      <c r="I46" s="753" t="s">
        <v>415</v>
      </c>
      <c r="J46" s="754">
        <f>F46*H46*'Gårdens info'!D23/100</f>
        <v>0</v>
      </c>
      <c r="K46" s="751" t="s">
        <v>411</v>
      </c>
      <c r="L46" s="751"/>
      <c r="M46" s="547"/>
    </row>
    <row r="47" spans="1:21" ht="13.8" thickBot="1" x14ac:dyDescent="0.3">
      <c r="B47" s="751"/>
      <c r="C47" s="751" t="s">
        <v>416</v>
      </c>
      <c r="D47" s="752"/>
      <c r="E47" s="751"/>
      <c r="F47" s="76"/>
      <c r="G47" s="751" t="s">
        <v>414</v>
      </c>
      <c r="H47" s="74"/>
      <c r="I47" s="753" t="s">
        <v>415</v>
      </c>
      <c r="J47" s="754">
        <f>F47*H47*'Gårdens info'!D23/100/5</f>
        <v>0</v>
      </c>
      <c r="K47" s="751" t="s">
        <v>411</v>
      </c>
      <c r="L47" s="547"/>
      <c r="M47" s="547"/>
    </row>
    <row r="48" spans="1:21" x14ac:dyDescent="0.25">
      <c r="B48" s="751"/>
      <c r="C48" s="751" t="s">
        <v>54</v>
      </c>
      <c r="D48" s="752"/>
      <c r="E48" s="751"/>
      <c r="F48" s="755"/>
      <c r="G48" s="751"/>
      <c r="H48" s="756"/>
      <c r="I48" s="753"/>
      <c r="J48" s="783">
        <f>SUM(J46:J47)</f>
        <v>0</v>
      </c>
      <c r="K48" s="548" t="s">
        <v>411</v>
      </c>
      <c r="L48" s="547"/>
      <c r="M48" s="547"/>
    </row>
    <row r="49" spans="1:21" x14ac:dyDescent="0.25">
      <c r="B49" s="751"/>
      <c r="C49" s="751"/>
      <c r="D49" s="752"/>
      <c r="E49" s="751"/>
      <c r="F49" s="755"/>
      <c r="G49" s="751"/>
      <c r="H49" s="756"/>
      <c r="I49" s="753"/>
      <c r="J49" s="754"/>
      <c r="K49" s="751"/>
      <c r="L49" s="547"/>
      <c r="M49" s="547"/>
    </row>
    <row r="50" spans="1:21" x14ac:dyDescent="0.25">
      <c r="B50" s="435"/>
      <c r="C50" s="435"/>
      <c r="D50" s="464"/>
      <c r="E50" s="435"/>
      <c r="F50" s="465"/>
      <c r="G50" s="435"/>
      <c r="H50" s="246"/>
      <c r="I50" s="437"/>
      <c r="J50" s="232"/>
      <c r="K50" s="435"/>
      <c r="L50" s="116"/>
      <c r="M50" s="116"/>
    </row>
    <row r="51" spans="1:21" s="5" customFormat="1" ht="39" customHeight="1" x14ac:dyDescent="0.3">
      <c r="A51" s="745"/>
      <c r="B51" s="96" t="s">
        <v>417</v>
      </c>
      <c r="C51" s="97"/>
      <c r="D51" s="97"/>
      <c r="E51" s="97"/>
      <c r="F51" s="1074" t="s">
        <v>114</v>
      </c>
      <c r="G51" s="1074"/>
      <c r="H51" s="1074" t="s">
        <v>113</v>
      </c>
      <c r="I51" s="1074"/>
      <c r="J51" s="938" t="s">
        <v>408</v>
      </c>
      <c r="K51" s="937"/>
      <c r="L51" s="99"/>
      <c r="M51" s="99"/>
    </row>
    <row r="52" spans="1:21" s="56" customFormat="1" ht="18" thickBot="1" x14ac:dyDescent="0.35">
      <c r="A52" s="747"/>
      <c r="B52" s="97"/>
      <c r="C52" s="97"/>
      <c r="D52" s="97"/>
      <c r="E52" s="97"/>
      <c r="F52" s="97"/>
      <c r="G52" s="97"/>
      <c r="H52" s="98"/>
      <c r="I52" s="98"/>
      <c r="J52" s="99"/>
      <c r="K52" s="99"/>
      <c r="L52" s="99"/>
      <c r="M52" s="99"/>
      <c r="N52" s="5"/>
      <c r="O52" s="5"/>
      <c r="P52" s="5"/>
      <c r="Q52" s="5"/>
      <c r="R52" s="5"/>
      <c r="S52" s="5"/>
      <c r="T52" s="5"/>
      <c r="U52" s="5"/>
    </row>
    <row r="53" spans="1:21" s="69" customFormat="1" ht="15.6" thickBot="1" x14ac:dyDescent="0.3">
      <c r="A53" s="746"/>
      <c r="B53" s="97"/>
      <c r="C53" s="97" t="s">
        <v>418</v>
      </c>
      <c r="D53" s="99"/>
      <c r="E53" s="97"/>
      <c r="F53" s="94">
        <f>30*F41/1000</f>
        <v>228</v>
      </c>
      <c r="G53" s="97" t="s">
        <v>419</v>
      </c>
      <c r="H53" s="77">
        <v>3</v>
      </c>
      <c r="I53" s="98" t="s">
        <v>206</v>
      </c>
      <c r="J53" s="100">
        <f>F53*H53</f>
        <v>684</v>
      </c>
      <c r="K53" s="97" t="s">
        <v>411</v>
      </c>
      <c r="L53" s="99"/>
      <c r="M53" s="99"/>
      <c r="N53" s="5"/>
      <c r="O53" s="5"/>
      <c r="P53" s="5"/>
      <c r="Q53" s="5"/>
      <c r="R53" s="5"/>
      <c r="S53" s="5"/>
      <c r="T53" s="5"/>
      <c r="U53" s="5"/>
    </row>
    <row r="54" spans="1:21" s="56" customFormat="1" ht="18" thickBot="1" x14ac:dyDescent="0.35">
      <c r="A54" s="747"/>
      <c r="B54" s="97"/>
      <c r="C54" s="97" t="s">
        <v>420</v>
      </c>
      <c r="D54" s="99"/>
      <c r="E54" s="97"/>
      <c r="F54" s="74"/>
      <c r="G54" s="97" t="s">
        <v>419</v>
      </c>
      <c r="H54" s="77"/>
      <c r="I54" s="98" t="s">
        <v>206</v>
      </c>
      <c r="J54" s="100">
        <f t="shared" ref="J54:J55" si="2">F54*H54</f>
        <v>0</v>
      </c>
      <c r="K54" s="97" t="s">
        <v>411</v>
      </c>
      <c r="L54" s="99"/>
      <c r="M54" s="99"/>
      <c r="N54" s="69"/>
      <c r="O54" s="69"/>
      <c r="P54" s="69"/>
      <c r="Q54" s="69"/>
      <c r="R54" s="69"/>
      <c r="S54" s="69"/>
      <c r="T54" s="69"/>
      <c r="U54" s="69"/>
    </row>
    <row r="55" spans="1:21" s="69" customFormat="1" ht="15.6" thickBot="1" x14ac:dyDescent="0.3">
      <c r="A55" s="746"/>
      <c r="B55" s="97"/>
      <c r="C55" s="97" t="s">
        <v>420</v>
      </c>
      <c r="D55" s="99"/>
      <c r="E55" s="97"/>
      <c r="F55" s="74"/>
      <c r="G55" s="97" t="s">
        <v>419</v>
      </c>
      <c r="H55" s="77"/>
      <c r="I55" s="98" t="s">
        <v>206</v>
      </c>
      <c r="J55" s="100">
        <f t="shared" si="2"/>
        <v>0</v>
      </c>
      <c r="K55" s="97" t="s">
        <v>411</v>
      </c>
      <c r="L55" s="99"/>
      <c r="M55" s="99"/>
      <c r="N55" s="5"/>
      <c r="O55" s="5"/>
      <c r="P55" s="5"/>
      <c r="Q55" s="5"/>
      <c r="R55" s="5"/>
      <c r="S55" s="5"/>
      <c r="T55" s="5"/>
      <c r="U55" s="5"/>
    </row>
    <row r="56" spans="1:21" s="69" customFormat="1" ht="17.399999999999999" x14ac:dyDescent="0.3">
      <c r="A56" s="746"/>
      <c r="B56" s="214"/>
      <c r="C56" s="214" t="s">
        <v>54</v>
      </c>
      <c r="D56" s="214"/>
      <c r="E56" s="214"/>
      <c r="F56" s="214"/>
      <c r="G56" s="214"/>
      <c r="H56" s="214"/>
      <c r="I56" s="215"/>
      <c r="J56" s="216">
        <f>SUM(J53:J55)</f>
        <v>684</v>
      </c>
      <c r="K56" s="97" t="s">
        <v>411</v>
      </c>
      <c r="L56" s="214"/>
      <c r="M56" s="214"/>
      <c r="N56" s="56"/>
      <c r="O56" s="56"/>
      <c r="P56" s="56"/>
      <c r="Q56" s="56"/>
      <c r="R56" s="56"/>
      <c r="S56" s="56"/>
      <c r="T56" s="56"/>
      <c r="U56" s="56"/>
    </row>
    <row r="57" spans="1:21" s="5" customFormat="1" x14ac:dyDescent="0.25">
      <c r="A57" s="745"/>
      <c r="B57" s="97"/>
      <c r="C57" s="97"/>
      <c r="D57" s="97"/>
      <c r="E57" s="97"/>
      <c r="F57" s="97"/>
      <c r="G57" s="97"/>
      <c r="H57" s="97"/>
      <c r="I57" s="98"/>
      <c r="J57" s="100"/>
      <c r="K57" s="97"/>
      <c r="L57" s="99"/>
      <c r="M57" s="99"/>
      <c r="N57"/>
      <c r="O57"/>
      <c r="P57"/>
      <c r="Q57"/>
      <c r="R57"/>
      <c r="S57"/>
      <c r="T57"/>
      <c r="U57"/>
    </row>
    <row r="58" spans="1:21" s="5" customFormat="1" ht="15" x14ac:dyDescent="0.25">
      <c r="A58" s="745"/>
      <c r="B58"/>
      <c r="C58"/>
      <c r="D58"/>
      <c r="E58"/>
      <c r="F58"/>
      <c r="G58"/>
      <c r="H58"/>
      <c r="I58"/>
      <c r="J58"/>
      <c r="K58"/>
      <c r="L58"/>
      <c r="M58"/>
      <c r="N58" s="69"/>
      <c r="O58" s="69"/>
      <c r="P58" s="69"/>
      <c r="Q58" s="69"/>
      <c r="R58" s="69"/>
      <c r="S58" s="69"/>
      <c r="T58" s="69"/>
      <c r="U58" s="69"/>
    </row>
    <row r="59" spans="1:21" s="5" customFormat="1" ht="46.95" customHeight="1" x14ac:dyDescent="0.3">
      <c r="A59" s="745"/>
      <c r="B59" s="85" t="s">
        <v>252</v>
      </c>
      <c r="C59" s="51"/>
      <c r="D59" s="51"/>
      <c r="E59" s="51"/>
      <c r="F59" s="1075" t="s">
        <v>114</v>
      </c>
      <c r="G59" s="1075"/>
      <c r="H59" s="1076" t="s">
        <v>113</v>
      </c>
      <c r="I59" s="1076"/>
      <c r="J59" s="939" t="s">
        <v>408</v>
      </c>
      <c r="K59" s="939"/>
      <c r="L59" s="58"/>
      <c r="M59" s="58"/>
    </row>
    <row r="60" spans="1:21" x14ac:dyDescent="0.25">
      <c r="B60" s="51"/>
      <c r="C60" s="51"/>
      <c r="D60" s="51"/>
      <c r="E60" s="51"/>
      <c r="F60" s="53"/>
      <c r="G60" s="53"/>
      <c r="H60" s="52"/>
      <c r="I60" s="52"/>
      <c r="J60" s="52"/>
      <c r="K60" s="58"/>
      <c r="L60" s="58"/>
      <c r="M60" s="58"/>
      <c r="N60" s="5"/>
      <c r="O60" s="5"/>
      <c r="P60" s="5"/>
      <c r="Q60" s="5"/>
      <c r="R60" s="5"/>
      <c r="S60" s="5"/>
      <c r="T60" s="5"/>
      <c r="U60" s="5"/>
    </row>
    <row r="61" spans="1:21" ht="15.6" x14ac:dyDescent="0.3">
      <c r="B61" s="85"/>
      <c r="C61" s="51"/>
      <c r="D61" s="387" t="s">
        <v>253</v>
      </c>
      <c r="E61" s="51"/>
      <c r="F61" s="59"/>
      <c r="G61" s="59"/>
      <c r="H61" s="60"/>
      <c r="I61" s="60"/>
      <c r="J61" s="59"/>
      <c r="K61" s="59"/>
      <c r="L61" s="58"/>
      <c r="M61" s="58"/>
    </row>
    <row r="62" spans="1:21" ht="13.8" thickBot="1" x14ac:dyDescent="0.3">
      <c r="B62" s="171" t="s">
        <v>254</v>
      </c>
      <c r="C62" s="51"/>
      <c r="D62" s="51"/>
      <c r="E62" s="51"/>
      <c r="F62" s="53"/>
      <c r="G62" s="53"/>
      <c r="H62" s="52"/>
      <c r="I62" s="52"/>
      <c r="J62" s="58"/>
      <c r="K62" s="58"/>
      <c r="L62" s="58"/>
      <c r="M62" s="58"/>
    </row>
    <row r="63" spans="1:21" ht="13.8" thickBot="1" x14ac:dyDescent="0.3">
      <c r="B63" s="51"/>
      <c r="C63" s="51" t="s">
        <v>265</v>
      </c>
      <c r="D63" s="58"/>
      <c r="E63" s="51"/>
      <c r="F63" s="95"/>
      <c r="G63" s="53" t="s">
        <v>256</v>
      </c>
      <c r="H63" s="77"/>
      <c r="I63" s="52" t="s">
        <v>257</v>
      </c>
      <c r="J63" s="58">
        <f t="shared" ref="J63:J65" si="3">F63*H63</f>
        <v>0</v>
      </c>
      <c r="K63" s="51" t="s">
        <v>411</v>
      </c>
      <c r="L63" s="58"/>
      <c r="M63" s="58"/>
    </row>
    <row r="64" spans="1:21" ht="13.8" thickBot="1" x14ac:dyDescent="0.3">
      <c r="B64" s="51"/>
      <c r="C64" s="51" t="s">
        <v>265</v>
      </c>
      <c r="D64" s="51"/>
      <c r="E64" s="51"/>
      <c r="F64" s="95"/>
      <c r="G64" s="53" t="s">
        <v>256</v>
      </c>
      <c r="H64" s="77"/>
      <c r="I64" s="52" t="s">
        <v>257</v>
      </c>
      <c r="J64" s="58">
        <f t="shared" si="3"/>
        <v>0</v>
      </c>
      <c r="K64" s="51" t="s">
        <v>411</v>
      </c>
      <c r="L64" s="58"/>
      <c r="M64" s="58"/>
    </row>
    <row r="65" spans="1:21" ht="13.8" thickBot="1" x14ac:dyDescent="0.3">
      <c r="B65" s="51"/>
      <c r="C65" s="51" t="s">
        <v>265</v>
      </c>
      <c r="D65" s="51"/>
      <c r="E65" s="51"/>
      <c r="F65" s="95"/>
      <c r="G65" s="53" t="s">
        <v>256</v>
      </c>
      <c r="H65" s="77"/>
      <c r="I65" s="52" t="s">
        <v>257</v>
      </c>
      <c r="J65" s="58">
        <f t="shared" si="3"/>
        <v>0</v>
      </c>
      <c r="K65" s="51" t="s">
        <v>411</v>
      </c>
      <c r="L65" s="58"/>
      <c r="M65" s="58"/>
    </row>
    <row r="66" spans="1:21" x14ac:dyDescent="0.25">
      <c r="B66" s="51"/>
      <c r="C66" s="51"/>
      <c r="D66" s="51"/>
      <c r="E66" s="51"/>
      <c r="F66" s="53"/>
      <c r="G66" s="53"/>
      <c r="H66" s="52"/>
      <c r="I66" s="52"/>
      <c r="J66" s="58"/>
      <c r="K66" s="51"/>
      <c r="L66" s="58"/>
      <c r="M66" s="58"/>
    </row>
    <row r="67" spans="1:21" ht="13.8" thickBot="1" x14ac:dyDescent="0.3">
      <c r="B67" s="171" t="s">
        <v>266</v>
      </c>
      <c r="C67" s="51"/>
      <c r="D67" s="51"/>
      <c r="E67" s="51"/>
      <c r="F67" s="53"/>
      <c r="G67" s="53"/>
      <c r="H67" s="52"/>
      <c r="I67" s="52"/>
      <c r="J67" s="58"/>
      <c r="K67" s="51"/>
      <c r="L67" s="58"/>
      <c r="M67" s="58"/>
    </row>
    <row r="68" spans="1:21" ht="13.8" thickBot="1" x14ac:dyDescent="0.3">
      <c r="B68" s="51"/>
      <c r="C68" s="51" t="s">
        <v>267</v>
      </c>
      <c r="D68" s="51"/>
      <c r="E68" s="51"/>
      <c r="F68" s="95"/>
      <c r="G68" s="53" t="s">
        <v>256</v>
      </c>
      <c r="H68" s="95"/>
      <c r="I68" s="52" t="s">
        <v>257</v>
      </c>
      <c r="J68" s="58">
        <f t="shared" ref="J68:J70" si="4">F68*H68</f>
        <v>0</v>
      </c>
      <c r="K68" s="51" t="s">
        <v>411</v>
      </c>
      <c r="L68" s="58"/>
      <c r="M68" s="58"/>
    </row>
    <row r="69" spans="1:21" ht="13.8" thickBot="1" x14ac:dyDescent="0.3">
      <c r="B69" s="51"/>
      <c r="C69" s="51" t="s">
        <v>267</v>
      </c>
      <c r="D69" s="51"/>
      <c r="E69" s="51"/>
      <c r="F69" s="95"/>
      <c r="G69" s="53" t="s">
        <v>256</v>
      </c>
      <c r="H69" s="95"/>
      <c r="I69" s="52" t="s">
        <v>257</v>
      </c>
      <c r="J69" s="58">
        <f t="shared" si="4"/>
        <v>0</v>
      </c>
      <c r="K69" s="51" t="s">
        <v>411</v>
      </c>
      <c r="L69" s="58"/>
      <c r="M69" s="58"/>
    </row>
    <row r="70" spans="1:21" ht="13.8" thickBot="1" x14ac:dyDescent="0.3">
      <c r="B70" s="51"/>
      <c r="C70" s="51" t="s">
        <v>267</v>
      </c>
      <c r="D70" s="51"/>
      <c r="E70" s="51"/>
      <c r="F70" s="95"/>
      <c r="G70" s="53" t="s">
        <v>256</v>
      </c>
      <c r="H70" s="95"/>
      <c r="I70" s="52" t="s">
        <v>257</v>
      </c>
      <c r="J70" s="58">
        <f t="shared" si="4"/>
        <v>0</v>
      </c>
      <c r="K70" s="51" t="s">
        <v>411</v>
      </c>
      <c r="L70" s="58"/>
      <c r="M70" s="58"/>
    </row>
    <row r="71" spans="1:21" s="5" customFormat="1" x14ac:dyDescent="0.25">
      <c r="A71" s="745"/>
      <c r="B71" s="195"/>
      <c r="C71" s="195" t="s">
        <v>54</v>
      </c>
      <c r="D71" s="195"/>
      <c r="E71" s="195"/>
      <c r="F71" s="196"/>
      <c r="G71" s="196"/>
      <c r="H71" s="196"/>
      <c r="I71" s="197"/>
      <c r="J71" s="197">
        <f>SUM(J63:J70)</f>
        <v>0</v>
      </c>
      <c r="K71" s="195" t="s">
        <v>411</v>
      </c>
      <c r="L71" s="195"/>
      <c r="M71" s="195"/>
    </row>
    <row r="72" spans="1:21" x14ac:dyDescent="0.25">
      <c r="B72" s="51"/>
      <c r="C72" s="51"/>
      <c r="D72" s="51"/>
      <c r="E72" s="51"/>
      <c r="F72" s="53"/>
      <c r="G72" s="53"/>
      <c r="H72" s="52"/>
      <c r="I72" s="52"/>
      <c r="J72" s="58"/>
      <c r="K72" s="51"/>
      <c r="L72" s="58"/>
      <c r="M72" s="58"/>
    </row>
    <row r="73" spans="1:21" x14ac:dyDescent="0.25">
      <c r="A73" s="757"/>
    </row>
    <row r="74" spans="1:21" ht="30" customHeight="1" x14ac:dyDescent="0.25">
      <c r="N74" s="5"/>
      <c r="O74" s="5"/>
      <c r="P74" s="5"/>
      <c r="Q74" s="5"/>
      <c r="R74" s="5"/>
      <c r="S74" s="5"/>
      <c r="T74" s="5"/>
      <c r="U74" s="5"/>
    </row>
    <row r="75" spans="1:21" ht="42" customHeight="1" x14ac:dyDescent="0.3">
      <c r="B75" s="181" t="s">
        <v>421</v>
      </c>
      <c r="C75" s="182"/>
      <c r="D75" s="182"/>
      <c r="E75" s="183"/>
      <c r="F75" s="758" t="s">
        <v>114</v>
      </c>
      <c r="G75" s="759"/>
      <c r="H75" s="759" t="s">
        <v>113</v>
      </c>
      <c r="I75" s="758"/>
      <c r="J75" s="758" t="s">
        <v>408</v>
      </c>
      <c r="K75" s="758"/>
      <c r="L75" s="185"/>
      <c r="M75" s="185"/>
    </row>
    <row r="76" spans="1:21" ht="16.2" thickBot="1" x14ac:dyDescent="0.35">
      <c r="B76" s="181"/>
      <c r="C76" s="182"/>
      <c r="D76" s="182"/>
      <c r="E76" s="183"/>
      <c r="F76" s="182"/>
      <c r="G76" s="184"/>
      <c r="H76" s="184"/>
      <c r="I76" s="182"/>
      <c r="J76" s="182"/>
      <c r="K76" s="185"/>
      <c r="L76" s="185"/>
      <c r="M76" s="185"/>
    </row>
    <row r="77" spans="1:21" ht="13.8" thickBot="1" x14ac:dyDescent="0.3">
      <c r="B77" s="182"/>
      <c r="C77" s="182" t="s">
        <v>278</v>
      </c>
      <c r="D77" s="185"/>
      <c r="E77" s="186"/>
      <c r="F77" s="74">
        <v>500</v>
      </c>
      <c r="G77" s="187" t="s">
        <v>279</v>
      </c>
      <c r="H77" s="77">
        <v>0.3</v>
      </c>
      <c r="I77" s="188" t="s">
        <v>280</v>
      </c>
      <c r="J77" s="185">
        <f>H77*F77</f>
        <v>150</v>
      </c>
      <c r="K77" s="188" t="s">
        <v>411</v>
      </c>
      <c r="L77" s="185"/>
      <c r="M77" s="185"/>
    </row>
    <row r="78" spans="1:21" ht="13.8" thickBot="1" x14ac:dyDescent="0.3">
      <c r="B78" s="182"/>
      <c r="C78" s="182" t="s">
        <v>422</v>
      </c>
      <c r="D78" s="188"/>
      <c r="E78" s="182"/>
      <c r="F78" s="74">
        <f>4*7*24*1</f>
        <v>672</v>
      </c>
      <c r="G78" s="184" t="s">
        <v>256</v>
      </c>
      <c r="H78" s="74">
        <v>1.1200000000000001</v>
      </c>
      <c r="I78" s="188" t="s">
        <v>257</v>
      </c>
      <c r="J78" s="185">
        <f>H78*F78</f>
        <v>752.6400000000001</v>
      </c>
      <c r="K78" s="188" t="s">
        <v>411</v>
      </c>
      <c r="L78" s="185"/>
      <c r="M78" s="185"/>
    </row>
    <row r="79" spans="1:21" ht="13.8" thickBot="1" x14ac:dyDescent="0.3">
      <c r="B79" s="182"/>
      <c r="C79" s="182" t="s">
        <v>423</v>
      </c>
      <c r="D79" s="185"/>
      <c r="E79" s="188"/>
      <c r="F79" s="74"/>
      <c r="G79" s="184"/>
      <c r="H79" s="74"/>
      <c r="I79" s="188"/>
      <c r="J79" s="185">
        <f t="shared" ref="J79:J80" si="5">H79*F79</f>
        <v>0</v>
      </c>
      <c r="K79" s="188" t="s">
        <v>411</v>
      </c>
      <c r="L79" s="185"/>
      <c r="M79" s="185"/>
    </row>
    <row r="80" spans="1:21" ht="13.8" thickBot="1" x14ac:dyDescent="0.3">
      <c r="B80" s="185"/>
      <c r="C80" s="182" t="s">
        <v>423</v>
      </c>
      <c r="D80" s="185"/>
      <c r="E80" s="185"/>
      <c r="F80" s="74"/>
      <c r="G80" s="185"/>
      <c r="H80" s="74"/>
      <c r="I80" s="185"/>
      <c r="J80" s="185">
        <f t="shared" si="5"/>
        <v>0</v>
      </c>
      <c r="K80" s="188" t="s">
        <v>411</v>
      </c>
      <c r="L80" s="185"/>
      <c r="M80" s="185"/>
    </row>
    <row r="81" spans="1:21" s="5" customFormat="1" x14ac:dyDescent="0.25">
      <c r="A81" s="745"/>
      <c r="B81" s="207"/>
      <c r="C81" s="207" t="s">
        <v>54</v>
      </c>
      <c r="D81" s="207"/>
      <c r="E81" s="207"/>
      <c r="F81" s="207"/>
      <c r="G81" s="207"/>
      <c r="H81" s="207"/>
      <c r="I81" s="207"/>
      <c r="J81" s="207">
        <f>SUM(J77:J80)</f>
        <v>902.6400000000001</v>
      </c>
      <c r="K81" s="208" t="s">
        <v>411</v>
      </c>
      <c r="L81" s="207"/>
      <c r="M81" s="207"/>
    </row>
    <row r="82" spans="1:21" x14ac:dyDescent="0.25">
      <c r="B82" s="185"/>
      <c r="C82" s="185"/>
      <c r="D82" s="185"/>
      <c r="E82" s="185"/>
      <c r="F82" s="185"/>
      <c r="G82" s="185"/>
      <c r="H82" s="185"/>
      <c r="I82" s="185"/>
      <c r="J82" s="185"/>
      <c r="K82" s="185"/>
      <c r="L82" s="185"/>
      <c r="M82" s="185"/>
    </row>
    <row r="83" spans="1:21" ht="28.95" customHeight="1" x14ac:dyDescent="0.25"/>
    <row r="84" spans="1:21" ht="15.6" x14ac:dyDescent="0.3">
      <c r="B84" s="88" t="s">
        <v>287</v>
      </c>
      <c r="C84" s="79"/>
      <c r="D84" s="79"/>
      <c r="E84" s="79"/>
      <c r="F84" s="79"/>
      <c r="G84" s="79"/>
      <c r="H84" s="79"/>
      <c r="I84" s="79"/>
      <c r="J84" s="79"/>
      <c r="K84" s="79"/>
      <c r="L84" s="79"/>
      <c r="M84" s="79"/>
    </row>
    <row r="85" spans="1:21" ht="15.6" x14ac:dyDescent="0.3">
      <c r="B85" s="88"/>
      <c r="C85" s="79"/>
      <c r="D85" s="79"/>
      <c r="E85" s="79"/>
      <c r="F85" s="79"/>
      <c r="G85" s="79"/>
      <c r="H85" s="79"/>
      <c r="I85" s="79"/>
      <c r="J85" s="79"/>
      <c r="K85" s="79"/>
      <c r="L85" s="79"/>
      <c r="M85" s="79"/>
    </row>
    <row r="86" spans="1:21" ht="15" customHeight="1" x14ac:dyDescent="0.25">
      <c r="B86" s="1103" t="s">
        <v>424</v>
      </c>
      <c r="C86" s="1103"/>
      <c r="D86" s="1103"/>
      <c r="E86" s="1103"/>
      <c r="F86" s="1103"/>
      <c r="G86" s="1103"/>
      <c r="H86" s="1103"/>
      <c r="I86" s="1103"/>
      <c r="J86" s="1103"/>
      <c r="K86" s="1103"/>
      <c r="L86" s="1103"/>
      <c r="M86" s="1103"/>
    </row>
    <row r="87" spans="1:21" s="5" customFormat="1" ht="15" x14ac:dyDescent="0.25">
      <c r="A87" s="745"/>
      <c r="B87" s="78" t="s">
        <v>425</v>
      </c>
      <c r="C87" s="79"/>
      <c r="D87" s="79"/>
      <c r="E87" s="83"/>
      <c r="F87" s="83"/>
      <c r="G87" s="83"/>
      <c r="H87" s="84"/>
      <c r="I87" s="84"/>
      <c r="J87" s="83"/>
      <c r="K87" s="83"/>
      <c r="L87" s="84"/>
      <c r="M87" s="84"/>
      <c r="N87"/>
      <c r="O87"/>
      <c r="P87"/>
      <c r="Q87"/>
      <c r="R87"/>
      <c r="S87"/>
      <c r="T87"/>
      <c r="U87"/>
    </row>
    <row r="88" spans="1:21" ht="15.6" x14ac:dyDescent="0.3">
      <c r="B88" s="88"/>
      <c r="C88" s="79"/>
      <c r="D88" s="79"/>
      <c r="E88" s="1069" t="s">
        <v>290</v>
      </c>
      <c r="F88" s="1069"/>
      <c r="G88" s="1069"/>
      <c r="H88" s="1070" t="s">
        <v>113</v>
      </c>
      <c r="I88" s="1070"/>
      <c r="J88" s="1069" t="s">
        <v>291</v>
      </c>
      <c r="K88" s="1069"/>
      <c r="L88" s="1070" t="s">
        <v>113</v>
      </c>
      <c r="M88" s="1070"/>
    </row>
    <row r="89" spans="1:21" ht="19.95" customHeight="1" thickBot="1" x14ac:dyDescent="0.3">
      <c r="B89" s="78"/>
      <c r="C89" s="79"/>
      <c r="D89" s="79"/>
      <c r="E89" s="79"/>
      <c r="F89" s="79"/>
      <c r="G89" s="79"/>
      <c r="H89" s="79"/>
      <c r="I89" s="79"/>
      <c r="J89" s="79"/>
      <c r="K89" s="79"/>
      <c r="L89" s="79"/>
      <c r="M89" s="79"/>
      <c r="N89" s="5"/>
      <c r="O89" s="5"/>
      <c r="P89" s="5"/>
      <c r="Q89" s="5"/>
      <c r="R89" s="5"/>
      <c r="S89" s="5"/>
      <c r="T89" s="5"/>
      <c r="U89" s="5"/>
    </row>
    <row r="90" spans="1:21" ht="13.8" thickBot="1" x14ac:dyDescent="0.3">
      <c r="B90" s="79"/>
      <c r="C90" s="80" t="s">
        <v>426</v>
      </c>
      <c r="D90" s="79"/>
      <c r="E90" s="79"/>
      <c r="F90" s="780">
        <v>8</v>
      </c>
      <c r="G90" s="82" t="s">
        <v>427</v>
      </c>
      <c r="H90" s="93">
        <v>14.5</v>
      </c>
      <c r="I90" s="82" t="s">
        <v>294</v>
      </c>
      <c r="J90" s="92"/>
      <c r="K90" s="82" t="s">
        <v>427</v>
      </c>
      <c r="L90" s="93">
        <v>14.5</v>
      </c>
      <c r="M90" s="82" t="s">
        <v>294</v>
      </c>
    </row>
    <row r="91" spans="1:21" ht="13.8" thickBot="1" x14ac:dyDescent="0.3">
      <c r="B91" s="79"/>
      <c r="C91" s="80" t="s">
        <v>428</v>
      </c>
      <c r="D91" s="79"/>
      <c r="E91" s="79"/>
      <c r="F91" s="780">
        <v>7</v>
      </c>
      <c r="G91" s="82" t="s">
        <v>427</v>
      </c>
      <c r="H91" s="90">
        <f t="shared" ref="H91:H97" si="6">$H$90</f>
        <v>14.5</v>
      </c>
      <c r="I91" s="82" t="s">
        <v>294</v>
      </c>
      <c r="J91" s="92"/>
      <c r="K91" s="82" t="s">
        <v>427</v>
      </c>
      <c r="L91" s="90">
        <f t="shared" ref="L91:L97" si="7">$L$90</f>
        <v>14.5</v>
      </c>
      <c r="M91" s="82" t="s">
        <v>294</v>
      </c>
    </row>
    <row r="92" spans="1:21" ht="13.8" thickBot="1" x14ac:dyDescent="0.3">
      <c r="B92" s="79"/>
      <c r="C92" s="80" t="s">
        <v>335</v>
      </c>
      <c r="D92" s="79"/>
      <c r="E92" s="79"/>
      <c r="F92" s="780">
        <f>2*4*7</f>
        <v>56</v>
      </c>
      <c r="G92" s="82" t="s">
        <v>427</v>
      </c>
      <c r="H92" s="90">
        <f t="shared" si="6"/>
        <v>14.5</v>
      </c>
      <c r="I92" s="82" t="s">
        <v>294</v>
      </c>
      <c r="J92" s="92"/>
      <c r="K92" s="82" t="s">
        <v>427</v>
      </c>
      <c r="L92" s="90">
        <f t="shared" si="7"/>
        <v>14.5</v>
      </c>
      <c r="M92" s="82" t="s">
        <v>294</v>
      </c>
    </row>
    <row r="93" spans="1:21" ht="13.8" thickBot="1" x14ac:dyDescent="0.3">
      <c r="B93" s="79"/>
      <c r="C93" s="80" t="s">
        <v>429</v>
      </c>
      <c r="D93" s="79"/>
      <c r="E93" s="79"/>
      <c r="F93" s="780">
        <v>10</v>
      </c>
      <c r="G93" s="82" t="s">
        <v>427</v>
      </c>
      <c r="H93" s="90">
        <f t="shared" si="6"/>
        <v>14.5</v>
      </c>
      <c r="I93" s="82" t="s">
        <v>294</v>
      </c>
      <c r="J93" s="92"/>
      <c r="K93" s="82" t="s">
        <v>427</v>
      </c>
      <c r="L93" s="90">
        <f t="shared" si="7"/>
        <v>14.5</v>
      </c>
      <c r="M93" s="82" t="s">
        <v>294</v>
      </c>
    </row>
    <row r="94" spans="1:21" ht="13.8" thickBot="1" x14ac:dyDescent="0.3">
      <c r="B94" s="79"/>
      <c r="C94" s="80" t="s">
        <v>430</v>
      </c>
      <c r="D94" s="79"/>
      <c r="E94" s="79"/>
      <c r="F94" s="780">
        <v>7</v>
      </c>
      <c r="G94" s="82" t="s">
        <v>427</v>
      </c>
      <c r="H94" s="90">
        <f t="shared" si="6"/>
        <v>14.5</v>
      </c>
      <c r="I94" s="82" t="s">
        <v>294</v>
      </c>
      <c r="J94" s="92"/>
      <c r="K94" s="82" t="s">
        <v>427</v>
      </c>
      <c r="L94" s="90">
        <f t="shared" si="7"/>
        <v>14.5</v>
      </c>
      <c r="M94" s="82" t="s">
        <v>294</v>
      </c>
    </row>
    <row r="95" spans="1:21" ht="13.8" thickBot="1" x14ac:dyDescent="0.3">
      <c r="B95" s="79"/>
      <c r="C95" s="80" t="s">
        <v>431</v>
      </c>
      <c r="D95" s="79"/>
      <c r="E95" s="79"/>
      <c r="F95" s="768"/>
      <c r="G95" s="82" t="s">
        <v>427</v>
      </c>
      <c r="H95" s="90">
        <f t="shared" si="6"/>
        <v>14.5</v>
      </c>
      <c r="I95" s="82" t="s">
        <v>294</v>
      </c>
      <c r="J95" s="75"/>
      <c r="K95" s="82" t="s">
        <v>427</v>
      </c>
      <c r="L95" s="90">
        <f t="shared" si="7"/>
        <v>14.5</v>
      </c>
      <c r="M95" s="82" t="s">
        <v>294</v>
      </c>
    </row>
    <row r="96" spans="1:21" ht="13.8" thickBot="1" x14ac:dyDescent="0.3">
      <c r="B96" s="79"/>
      <c r="C96" s="80" t="s">
        <v>431</v>
      </c>
      <c r="D96" s="79"/>
      <c r="E96" s="79"/>
      <c r="F96" s="768"/>
      <c r="G96" s="82" t="s">
        <v>427</v>
      </c>
      <c r="H96" s="90">
        <f t="shared" si="6"/>
        <v>14.5</v>
      </c>
      <c r="I96" s="82" t="s">
        <v>294</v>
      </c>
      <c r="J96" s="75"/>
      <c r="K96" s="82" t="s">
        <v>427</v>
      </c>
      <c r="L96" s="90">
        <f t="shared" si="7"/>
        <v>14.5</v>
      </c>
      <c r="M96" s="82" t="s">
        <v>294</v>
      </c>
    </row>
    <row r="97" spans="2:21" ht="13.8" thickBot="1" x14ac:dyDescent="0.3">
      <c r="B97" s="79"/>
      <c r="C97" s="80" t="s">
        <v>431</v>
      </c>
      <c r="D97" s="81"/>
      <c r="E97" s="81"/>
      <c r="F97" s="781"/>
      <c r="G97" s="82" t="s">
        <v>427</v>
      </c>
      <c r="H97" s="90">
        <f t="shared" si="6"/>
        <v>14.5</v>
      </c>
      <c r="I97" s="82" t="s">
        <v>294</v>
      </c>
      <c r="J97" s="75"/>
      <c r="K97" s="82" t="s">
        <v>427</v>
      </c>
      <c r="L97" s="90">
        <f t="shared" si="7"/>
        <v>14.5</v>
      </c>
      <c r="M97" s="82" t="s">
        <v>294</v>
      </c>
    </row>
    <row r="98" spans="2:21" x14ac:dyDescent="0.25">
      <c r="B98" s="209"/>
      <c r="C98" s="210" t="s">
        <v>54</v>
      </c>
      <c r="D98" s="211"/>
      <c r="E98" s="211"/>
      <c r="F98" s="782">
        <f>SUM(F90:F97)</f>
        <v>88</v>
      </c>
      <c r="G98" s="82" t="s">
        <v>427</v>
      </c>
      <c r="H98" s="213">
        <f>F98*H90</f>
        <v>1276</v>
      </c>
      <c r="I98" s="209" t="s">
        <v>411</v>
      </c>
      <c r="J98" s="212">
        <f>SUM(J90:J97)</f>
        <v>0</v>
      </c>
      <c r="K98" s="82" t="s">
        <v>427</v>
      </c>
      <c r="L98" s="213">
        <f>J98*L90</f>
        <v>0</v>
      </c>
      <c r="M98" s="209" t="s">
        <v>402</v>
      </c>
    </row>
    <row r="99" spans="2:21" x14ac:dyDescent="0.25">
      <c r="B99" s="209"/>
      <c r="C99" s="210"/>
      <c r="D99" s="211"/>
      <c r="E99" s="211"/>
      <c r="F99" s="782"/>
      <c r="G99" s="82"/>
      <c r="H99" s="213"/>
      <c r="I99" s="209"/>
      <c r="J99" s="212"/>
      <c r="K99" s="82"/>
      <c r="L99" s="213"/>
      <c r="M99" s="209"/>
    </row>
    <row r="100" spans="2:21" ht="28.95" customHeight="1" x14ac:dyDescent="0.25"/>
    <row r="101" spans="2:21" ht="18" customHeight="1" x14ac:dyDescent="0.3">
      <c r="B101" s="764" t="s">
        <v>432</v>
      </c>
      <c r="C101" s="109"/>
      <c r="D101" s="109"/>
      <c r="E101" s="109"/>
      <c r="F101" s="109"/>
      <c r="G101" s="109"/>
      <c r="H101" s="109"/>
      <c r="I101" s="109"/>
      <c r="J101" s="109"/>
      <c r="K101" s="109"/>
      <c r="L101" s="109"/>
      <c r="M101" s="109"/>
      <c r="N101" s="767"/>
      <c r="O101" s="767"/>
      <c r="P101" s="767"/>
      <c r="Q101" s="767"/>
      <c r="R101" s="767"/>
      <c r="S101" s="767"/>
      <c r="T101" s="5"/>
      <c r="U101" s="5"/>
    </row>
    <row r="102" spans="2:21" x14ac:dyDescent="0.25">
      <c r="B102" s="109"/>
      <c r="C102" s="109"/>
      <c r="D102" s="109"/>
      <c r="E102" s="109"/>
      <c r="F102" s="109"/>
      <c r="G102" s="109"/>
      <c r="H102" s="109"/>
      <c r="I102" s="109"/>
      <c r="J102" s="109"/>
      <c r="K102" s="109"/>
      <c r="L102" s="109"/>
      <c r="M102" s="109"/>
      <c r="N102" s="109"/>
      <c r="O102" s="109"/>
      <c r="P102" s="109"/>
      <c r="Q102" s="109"/>
      <c r="R102" s="109"/>
      <c r="S102" s="109"/>
    </row>
    <row r="103" spans="2:21" ht="15" x14ac:dyDescent="0.25">
      <c r="B103" s="766" t="s">
        <v>433</v>
      </c>
      <c r="C103" s="765"/>
      <c r="D103" s="109"/>
      <c r="E103" s="109"/>
      <c r="F103" s="109"/>
      <c r="G103" s="109"/>
      <c r="H103" s="109"/>
      <c r="I103" s="109"/>
      <c r="J103" s="109"/>
      <c r="K103" s="109"/>
      <c r="L103" s="109"/>
      <c r="M103" s="109"/>
      <c r="N103" s="109"/>
      <c r="O103" s="109"/>
      <c r="P103" s="109"/>
      <c r="Q103" s="109"/>
      <c r="R103" s="109"/>
      <c r="S103" s="109"/>
    </row>
    <row r="104" spans="2:21" ht="16.95" customHeight="1" thickBot="1" x14ac:dyDescent="0.3">
      <c r="B104" s="109"/>
      <c r="C104" s="109"/>
      <c r="D104" s="109"/>
      <c r="E104" s="109"/>
      <c r="F104" s="109"/>
      <c r="G104" s="109"/>
      <c r="H104" s="109"/>
      <c r="I104" s="109"/>
      <c r="J104" s="109"/>
      <c r="K104" s="109"/>
      <c r="L104" s="109"/>
      <c r="M104" s="109"/>
      <c r="N104" s="109"/>
      <c r="O104" s="109"/>
      <c r="P104" s="109"/>
      <c r="Q104" s="109"/>
      <c r="R104" s="109"/>
      <c r="S104" s="109"/>
    </row>
    <row r="105" spans="2:21" ht="16.95" customHeight="1" thickBot="1" x14ac:dyDescent="0.3">
      <c r="B105" s="109"/>
      <c r="C105" s="772" t="s">
        <v>434</v>
      </c>
      <c r="D105" s="768">
        <v>2024</v>
      </c>
      <c r="E105" s="109"/>
      <c r="F105" s="109"/>
      <c r="G105" s="109"/>
      <c r="H105" s="109"/>
      <c r="I105" s="109"/>
      <c r="J105" s="109"/>
      <c r="K105" s="109"/>
      <c r="L105" s="109"/>
      <c r="M105" s="109"/>
      <c r="N105" s="109"/>
      <c r="O105" s="109"/>
      <c r="P105" s="109"/>
      <c r="Q105" s="109"/>
      <c r="R105" s="109"/>
      <c r="S105" s="109"/>
    </row>
    <row r="106" spans="2:21" ht="16.95" customHeight="1" thickBot="1" x14ac:dyDescent="0.3">
      <c r="B106" s="109"/>
      <c r="C106" s="774" t="s">
        <v>435</v>
      </c>
      <c r="D106" s="792">
        <v>700</v>
      </c>
      <c r="E106" s="109"/>
      <c r="F106" s="109"/>
      <c r="G106" s="109"/>
      <c r="H106" s="109"/>
      <c r="I106" s="109"/>
      <c r="J106" s="109"/>
      <c r="K106" s="109"/>
      <c r="L106" s="109"/>
      <c r="M106" s="109"/>
      <c r="N106" s="109"/>
      <c r="O106" s="109"/>
      <c r="P106" s="109"/>
      <c r="Q106" s="109"/>
      <c r="R106" s="109"/>
      <c r="S106" s="109"/>
    </row>
    <row r="107" spans="2:21" ht="16.95" customHeight="1" thickBot="1" x14ac:dyDescent="0.3">
      <c r="B107" s="109"/>
      <c r="C107" s="774" t="s">
        <v>436</v>
      </c>
      <c r="D107" s="770">
        <v>0.05</v>
      </c>
      <c r="E107" s="109"/>
      <c r="F107" s="109"/>
      <c r="G107" s="109"/>
      <c r="H107" s="109"/>
      <c r="I107" s="109"/>
      <c r="J107" s="109"/>
      <c r="K107" s="109"/>
      <c r="L107" s="109"/>
      <c r="M107" s="109"/>
      <c r="N107" s="109"/>
      <c r="O107" s="109"/>
      <c r="P107" s="109"/>
      <c r="Q107" s="109"/>
      <c r="R107" s="109"/>
      <c r="S107" s="109"/>
    </row>
    <row r="108" spans="2:21" ht="16.95" customHeight="1" thickBot="1" x14ac:dyDescent="0.3">
      <c r="B108" s="109"/>
      <c r="C108" s="774" t="s">
        <v>232</v>
      </c>
      <c r="D108" s="775">
        <v>0.01</v>
      </c>
      <c r="E108" s="109"/>
      <c r="F108" s="109"/>
      <c r="G108" s="109"/>
      <c r="H108" s="109"/>
      <c r="I108" s="109"/>
      <c r="J108" s="109"/>
      <c r="K108" s="109"/>
      <c r="L108" s="109"/>
      <c r="M108" s="109"/>
      <c r="N108" s="109"/>
      <c r="O108" s="109"/>
      <c r="P108" s="109"/>
      <c r="Q108" s="109"/>
      <c r="R108" s="109"/>
      <c r="S108" s="109"/>
    </row>
    <row r="109" spans="2:21" ht="16.95" customHeight="1" thickBot="1" x14ac:dyDescent="0.3">
      <c r="B109" s="109"/>
      <c r="C109" s="773" t="s">
        <v>437</v>
      </c>
      <c r="D109" s="771">
        <v>2E-3</v>
      </c>
      <c r="E109" s="109"/>
      <c r="F109" s="109"/>
      <c r="G109" s="109"/>
      <c r="H109" s="109"/>
      <c r="I109" s="109"/>
      <c r="J109" s="109"/>
      <c r="K109" s="109"/>
      <c r="L109" s="109"/>
      <c r="M109" s="109"/>
      <c r="N109" s="109"/>
      <c r="O109" s="109"/>
      <c r="P109" s="109"/>
      <c r="Q109" s="109"/>
      <c r="R109" s="109"/>
      <c r="S109" s="109"/>
    </row>
    <row r="110" spans="2:21" ht="49.2" customHeight="1" thickBot="1" x14ac:dyDescent="0.3">
      <c r="B110" s="109"/>
      <c r="C110" s="109"/>
      <c r="D110" s="109"/>
      <c r="E110" s="776" t="s">
        <v>72</v>
      </c>
      <c r="F110" s="776" t="s">
        <v>113</v>
      </c>
      <c r="G110" s="777"/>
      <c r="H110" s="776" t="s">
        <v>438</v>
      </c>
      <c r="I110" s="777"/>
      <c r="J110" s="776" t="s">
        <v>439</v>
      </c>
      <c r="K110" s="777"/>
      <c r="L110" s="776" t="s">
        <v>71</v>
      </c>
      <c r="M110" s="778"/>
      <c r="N110" s="779" t="s">
        <v>440</v>
      </c>
      <c r="O110" s="778" t="s">
        <v>441</v>
      </c>
      <c r="P110" s="779" t="s">
        <v>442</v>
      </c>
      <c r="Q110" s="778" t="s">
        <v>443</v>
      </c>
      <c r="R110" s="109"/>
      <c r="S110" s="109"/>
    </row>
    <row r="111" spans="2:21" ht="13.8" thickBot="1" x14ac:dyDescent="0.3">
      <c r="B111" s="109"/>
      <c r="C111" s="765" t="s">
        <v>444</v>
      </c>
      <c r="D111" s="109"/>
      <c r="E111" s="768">
        <v>2024</v>
      </c>
      <c r="F111" s="788">
        <v>40</v>
      </c>
      <c r="G111" s="765" t="s">
        <v>134</v>
      </c>
      <c r="H111" s="788">
        <v>700</v>
      </c>
      <c r="I111" s="765" t="s">
        <v>30</v>
      </c>
      <c r="J111" s="768">
        <v>15</v>
      </c>
      <c r="K111" s="765" t="s">
        <v>40</v>
      </c>
      <c r="L111" s="786">
        <f>F111*H111</f>
        <v>28000</v>
      </c>
      <c r="M111" s="787" t="s">
        <v>117</v>
      </c>
      <c r="N111" s="786">
        <f>IF($D$105-E111&lt;=J111,L111/J111,0)</f>
        <v>1866.6666666666667</v>
      </c>
      <c r="O111" s="786">
        <f>IF($D$105-E111&lt;=J111,L111/2*$D$107,0)</f>
        <v>700</v>
      </c>
      <c r="P111" s="786">
        <f>L111*$D$108</f>
        <v>280</v>
      </c>
      <c r="Q111" s="786">
        <f>L111*$D$109</f>
        <v>56</v>
      </c>
      <c r="R111" s="109"/>
      <c r="S111" s="109"/>
    </row>
    <row r="112" spans="2:21" ht="13.8" thickBot="1" x14ac:dyDescent="0.3">
      <c r="B112" s="109"/>
      <c r="C112" s="765" t="s">
        <v>422</v>
      </c>
      <c r="D112" s="109"/>
      <c r="E112" s="768">
        <v>2024</v>
      </c>
      <c r="F112" s="788">
        <v>7000</v>
      </c>
      <c r="G112" s="765" t="s">
        <v>74</v>
      </c>
      <c r="H112" s="788">
        <v>1</v>
      </c>
      <c r="I112" s="765" t="s">
        <v>116</v>
      </c>
      <c r="J112" s="768">
        <v>15</v>
      </c>
      <c r="K112" s="765" t="s">
        <v>40</v>
      </c>
      <c r="L112" s="786">
        <f>F112*H112</f>
        <v>7000</v>
      </c>
      <c r="M112" s="787" t="s">
        <v>117</v>
      </c>
      <c r="N112" s="786">
        <f t="shared" ref="N112:N123" si="8">IF($D$105-E112&lt;=J112,L112/J112,0)</f>
        <v>466.66666666666669</v>
      </c>
      <c r="O112" s="786">
        <f t="shared" ref="O112:O123" si="9">IF($D$105-E112&lt;=J112,L112/2*$D$107,0)</f>
        <v>175</v>
      </c>
      <c r="P112" s="786">
        <f t="shared" ref="P112:P123" si="10">L112*$D$108</f>
        <v>70</v>
      </c>
      <c r="Q112" s="786">
        <f t="shared" ref="Q112:Q123" si="11">L112*$D$109</f>
        <v>14</v>
      </c>
      <c r="R112" s="109"/>
      <c r="S112" s="109"/>
    </row>
    <row r="113" spans="1:21" ht="13.8" thickBot="1" x14ac:dyDescent="0.3">
      <c r="B113" s="109"/>
      <c r="C113" s="765" t="s">
        <v>445</v>
      </c>
      <c r="D113" s="109"/>
      <c r="E113" s="768">
        <v>2024</v>
      </c>
      <c r="F113" s="788">
        <v>0.56999999999999995</v>
      </c>
      <c r="G113" s="765" t="s">
        <v>134</v>
      </c>
      <c r="H113" s="788">
        <v>700</v>
      </c>
      <c r="I113" s="765" t="s">
        <v>30</v>
      </c>
      <c r="J113" s="768">
        <v>5</v>
      </c>
      <c r="K113" s="765" t="s">
        <v>40</v>
      </c>
      <c r="L113" s="786">
        <f t="shared" ref="L113:L116" si="12">F113*H113</f>
        <v>398.99999999999994</v>
      </c>
      <c r="M113" s="787" t="s">
        <v>117</v>
      </c>
      <c r="N113" s="786">
        <f t="shared" si="8"/>
        <v>79.799999999999983</v>
      </c>
      <c r="O113" s="786">
        <f t="shared" si="9"/>
        <v>9.9749999999999996</v>
      </c>
      <c r="P113" s="786">
        <f t="shared" si="10"/>
        <v>3.9899999999999993</v>
      </c>
      <c r="Q113" s="786">
        <f t="shared" si="11"/>
        <v>0.79799999999999993</v>
      </c>
      <c r="R113" s="109"/>
      <c r="S113" s="109"/>
    </row>
    <row r="114" spans="1:21" ht="13.8" thickBot="1" x14ac:dyDescent="0.3">
      <c r="B114" s="109"/>
      <c r="C114" s="765" t="s">
        <v>446</v>
      </c>
      <c r="D114" s="109"/>
      <c r="E114" s="768">
        <v>2024</v>
      </c>
      <c r="F114" s="788">
        <v>3.4</v>
      </c>
      <c r="G114" s="765" t="s">
        <v>134</v>
      </c>
      <c r="H114" s="788">
        <v>700</v>
      </c>
      <c r="I114" s="765" t="s">
        <v>30</v>
      </c>
      <c r="J114" s="768">
        <v>10</v>
      </c>
      <c r="K114" s="765" t="s">
        <v>40</v>
      </c>
      <c r="L114" s="786">
        <f t="shared" si="12"/>
        <v>2380</v>
      </c>
      <c r="M114" s="787" t="s">
        <v>117</v>
      </c>
      <c r="N114" s="786">
        <f t="shared" si="8"/>
        <v>238</v>
      </c>
      <c r="O114" s="786">
        <f t="shared" si="9"/>
        <v>59.5</v>
      </c>
      <c r="P114" s="786">
        <f t="shared" si="10"/>
        <v>23.8</v>
      </c>
      <c r="Q114" s="786">
        <f t="shared" si="11"/>
        <v>4.76</v>
      </c>
      <c r="R114" s="109"/>
      <c r="S114" s="109"/>
    </row>
    <row r="115" spans="1:21" ht="13.8" thickBot="1" x14ac:dyDescent="0.3">
      <c r="B115" s="109"/>
      <c r="C115" s="765" t="s">
        <v>447</v>
      </c>
      <c r="D115" s="109"/>
      <c r="E115" s="768">
        <v>2024</v>
      </c>
      <c r="F115" s="788">
        <v>6.8</v>
      </c>
      <c r="G115" s="765" t="s">
        <v>134</v>
      </c>
      <c r="H115" s="788">
        <f>46*7</f>
        <v>322</v>
      </c>
      <c r="I115" s="765" t="s">
        <v>116</v>
      </c>
      <c r="J115" s="768">
        <v>5</v>
      </c>
      <c r="K115" s="765" t="s">
        <v>40</v>
      </c>
      <c r="L115" s="786">
        <f t="shared" si="12"/>
        <v>2189.6</v>
      </c>
      <c r="M115" s="787" t="s">
        <v>117</v>
      </c>
      <c r="N115" s="786">
        <f t="shared" si="8"/>
        <v>437.91999999999996</v>
      </c>
      <c r="O115" s="786">
        <f t="shared" si="9"/>
        <v>54.74</v>
      </c>
      <c r="P115" s="786">
        <f t="shared" si="10"/>
        <v>21.896000000000001</v>
      </c>
      <c r="Q115" s="786">
        <f t="shared" si="11"/>
        <v>4.3792</v>
      </c>
      <c r="R115" s="109"/>
      <c r="S115" s="109"/>
    </row>
    <row r="116" spans="1:21" ht="13.8" thickBot="1" x14ac:dyDescent="0.3">
      <c r="B116" s="109"/>
      <c r="C116" s="765" t="s">
        <v>448</v>
      </c>
      <c r="D116" s="109"/>
      <c r="E116" s="768">
        <v>2011</v>
      </c>
      <c r="F116" s="788">
        <v>5200</v>
      </c>
      <c r="G116" s="765" t="s">
        <v>134</v>
      </c>
      <c r="H116" s="788">
        <v>1</v>
      </c>
      <c r="I116" s="765" t="s">
        <v>116</v>
      </c>
      <c r="J116" s="768">
        <v>15</v>
      </c>
      <c r="K116" s="765" t="s">
        <v>40</v>
      </c>
      <c r="L116" s="786">
        <f t="shared" si="12"/>
        <v>5200</v>
      </c>
      <c r="M116" s="787" t="s">
        <v>117</v>
      </c>
      <c r="N116" s="786">
        <f t="shared" si="8"/>
        <v>346.66666666666669</v>
      </c>
      <c r="O116" s="786">
        <f t="shared" si="9"/>
        <v>130</v>
      </c>
      <c r="P116" s="786">
        <f t="shared" si="10"/>
        <v>52</v>
      </c>
      <c r="Q116" s="786">
        <f t="shared" si="11"/>
        <v>10.4</v>
      </c>
      <c r="R116" s="109"/>
      <c r="S116" s="109"/>
    </row>
    <row r="117" spans="1:21" ht="13.8" thickBot="1" x14ac:dyDescent="0.3">
      <c r="B117" s="109"/>
      <c r="C117" s="765" t="s">
        <v>449</v>
      </c>
      <c r="D117" s="109"/>
      <c r="E117" s="768">
        <v>2024</v>
      </c>
      <c r="F117" s="788">
        <v>800</v>
      </c>
      <c r="G117" s="765" t="s">
        <v>74</v>
      </c>
      <c r="H117" s="788">
        <v>1</v>
      </c>
      <c r="I117" s="765" t="s">
        <v>116</v>
      </c>
      <c r="J117" s="768">
        <v>10</v>
      </c>
      <c r="K117" s="765" t="s">
        <v>40</v>
      </c>
      <c r="L117" s="786">
        <f t="shared" ref="L117" si="13">F117*H117</f>
        <v>800</v>
      </c>
      <c r="M117" s="787" t="s">
        <v>117</v>
      </c>
      <c r="N117" s="786">
        <f t="shared" si="8"/>
        <v>80</v>
      </c>
      <c r="O117" s="786">
        <f t="shared" si="9"/>
        <v>20</v>
      </c>
      <c r="P117" s="786">
        <f t="shared" si="10"/>
        <v>8</v>
      </c>
      <c r="Q117" s="786">
        <f t="shared" si="11"/>
        <v>1.6</v>
      </c>
      <c r="R117" s="109"/>
      <c r="S117" s="109"/>
    </row>
    <row r="118" spans="1:21" ht="13.8" thickBot="1" x14ac:dyDescent="0.3">
      <c r="B118" s="109"/>
      <c r="C118" s="765" t="s">
        <v>450</v>
      </c>
      <c r="D118" s="109"/>
      <c r="E118" s="768">
        <v>2024</v>
      </c>
      <c r="F118" s="788">
        <v>150</v>
      </c>
      <c r="G118" s="765" t="s">
        <v>74</v>
      </c>
      <c r="H118" s="788">
        <v>1</v>
      </c>
      <c r="I118" s="765" t="s">
        <v>116</v>
      </c>
      <c r="J118" s="768">
        <v>5</v>
      </c>
      <c r="K118" s="765" t="s">
        <v>40</v>
      </c>
      <c r="L118" s="786">
        <f t="shared" ref="L118:L123" si="14">F118*H118</f>
        <v>150</v>
      </c>
      <c r="M118" s="787" t="s">
        <v>117</v>
      </c>
      <c r="N118" s="786">
        <f t="shared" si="8"/>
        <v>30</v>
      </c>
      <c r="O118" s="786">
        <f t="shared" si="9"/>
        <v>3.75</v>
      </c>
      <c r="P118" s="786">
        <f t="shared" si="10"/>
        <v>1.5</v>
      </c>
      <c r="Q118" s="786">
        <f t="shared" si="11"/>
        <v>0.3</v>
      </c>
      <c r="R118" s="109"/>
      <c r="S118" s="109"/>
    </row>
    <row r="119" spans="1:21" ht="13.8" thickBot="1" x14ac:dyDescent="0.3">
      <c r="B119" s="109"/>
      <c r="C119" s="765" t="s">
        <v>451</v>
      </c>
      <c r="D119" s="109"/>
      <c r="E119" s="768">
        <v>2024</v>
      </c>
      <c r="F119" s="788">
        <v>250</v>
      </c>
      <c r="G119" s="765" t="s">
        <v>74</v>
      </c>
      <c r="H119" s="788">
        <v>10</v>
      </c>
      <c r="I119" s="765" t="s">
        <v>116</v>
      </c>
      <c r="J119" s="768">
        <v>10</v>
      </c>
      <c r="K119" s="765" t="s">
        <v>40</v>
      </c>
      <c r="L119" s="786">
        <f t="shared" si="14"/>
        <v>2500</v>
      </c>
      <c r="M119" s="787" t="s">
        <v>117</v>
      </c>
      <c r="N119" s="786">
        <f t="shared" si="8"/>
        <v>250</v>
      </c>
      <c r="O119" s="786">
        <f t="shared" si="9"/>
        <v>62.5</v>
      </c>
      <c r="P119" s="786">
        <f t="shared" si="10"/>
        <v>25</v>
      </c>
      <c r="Q119" s="786">
        <f t="shared" si="11"/>
        <v>5</v>
      </c>
      <c r="R119" s="109"/>
      <c r="S119" s="109"/>
    </row>
    <row r="120" spans="1:21" ht="13.8" thickBot="1" x14ac:dyDescent="0.3">
      <c r="B120" s="109"/>
      <c r="C120" s="765" t="s">
        <v>452</v>
      </c>
      <c r="D120" s="109"/>
      <c r="E120" s="768"/>
      <c r="F120" s="788"/>
      <c r="G120" s="109"/>
      <c r="H120" s="788"/>
      <c r="I120" s="109"/>
      <c r="J120" s="768"/>
      <c r="K120" s="765" t="s">
        <v>40</v>
      </c>
      <c r="L120" s="786">
        <f t="shared" si="14"/>
        <v>0</v>
      </c>
      <c r="M120" s="787" t="s">
        <v>117</v>
      </c>
      <c r="N120" s="786">
        <f t="shared" si="8"/>
        <v>0</v>
      </c>
      <c r="O120" s="786">
        <f t="shared" si="9"/>
        <v>0</v>
      </c>
      <c r="P120" s="786">
        <f t="shared" si="10"/>
        <v>0</v>
      </c>
      <c r="Q120" s="786">
        <f t="shared" si="11"/>
        <v>0</v>
      </c>
      <c r="R120" s="109"/>
      <c r="S120" s="109"/>
    </row>
    <row r="121" spans="1:21" ht="13.8" thickBot="1" x14ac:dyDescent="0.3">
      <c r="B121" s="109"/>
      <c r="C121" s="765" t="s">
        <v>452</v>
      </c>
      <c r="D121" s="109"/>
      <c r="E121" s="768"/>
      <c r="F121" s="788"/>
      <c r="G121" s="109"/>
      <c r="H121" s="788"/>
      <c r="I121" s="109"/>
      <c r="J121" s="768"/>
      <c r="K121" s="765" t="s">
        <v>40</v>
      </c>
      <c r="L121" s="786">
        <f t="shared" si="14"/>
        <v>0</v>
      </c>
      <c r="M121" s="787" t="s">
        <v>117</v>
      </c>
      <c r="N121" s="786">
        <f t="shared" si="8"/>
        <v>0</v>
      </c>
      <c r="O121" s="786">
        <f t="shared" si="9"/>
        <v>0</v>
      </c>
      <c r="P121" s="786">
        <f t="shared" si="10"/>
        <v>0</v>
      </c>
      <c r="Q121" s="786">
        <f t="shared" si="11"/>
        <v>0</v>
      </c>
      <c r="R121" s="109"/>
      <c r="S121" s="109"/>
    </row>
    <row r="122" spans="1:21" s="5" customFormat="1" ht="13.8" thickBot="1" x14ac:dyDescent="0.3">
      <c r="A122" s="745"/>
      <c r="B122" s="109"/>
      <c r="C122" s="765" t="s">
        <v>452</v>
      </c>
      <c r="D122" s="109"/>
      <c r="E122" s="768"/>
      <c r="F122" s="788"/>
      <c r="G122" s="109"/>
      <c r="H122" s="788"/>
      <c r="I122" s="109"/>
      <c r="J122" s="768"/>
      <c r="K122" s="765" t="s">
        <v>40</v>
      </c>
      <c r="L122" s="786">
        <f t="shared" si="14"/>
        <v>0</v>
      </c>
      <c r="M122" s="787" t="s">
        <v>117</v>
      </c>
      <c r="N122" s="786">
        <f t="shared" si="8"/>
        <v>0</v>
      </c>
      <c r="O122" s="786">
        <f t="shared" si="9"/>
        <v>0</v>
      </c>
      <c r="P122" s="786">
        <f t="shared" si="10"/>
        <v>0</v>
      </c>
      <c r="Q122" s="786">
        <f t="shared" si="11"/>
        <v>0</v>
      </c>
      <c r="R122" s="109"/>
      <c r="S122" s="109"/>
      <c r="T122"/>
      <c r="U122"/>
    </row>
    <row r="123" spans="1:21" ht="13.8" thickBot="1" x14ac:dyDescent="0.3">
      <c r="B123" s="109"/>
      <c r="C123" s="765" t="s">
        <v>452</v>
      </c>
      <c r="D123" s="109"/>
      <c r="E123" s="768"/>
      <c r="F123" s="788"/>
      <c r="G123" s="109"/>
      <c r="H123" s="788"/>
      <c r="I123" s="109"/>
      <c r="J123" s="768"/>
      <c r="K123" s="765" t="s">
        <v>40</v>
      </c>
      <c r="L123" s="786">
        <f t="shared" si="14"/>
        <v>0</v>
      </c>
      <c r="M123" s="787" t="s">
        <v>117</v>
      </c>
      <c r="N123" s="786">
        <f t="shared" si="8"/>
        <v>0</v>
      </c>
      <c r="O123" s="786">
        <f t="shared" si="9"/>
        <v>0</v>
      </c>
      <c r="P123" s="786">
        <f t="shared" si="10"/>
        <v>0</v>
      </c>
      <c r="Q123" s="786">
        <f t="shared" si="11"/>
        <v>0</v>
      </c>
      <c r="R123" s="109"/>
      <c r="S123" s="109"/>
    </row>
    <row r="124" spans="1:21" s="791" customFormat="1" ht="15.6" x14ac:dyDescent="0.3">
      <c r="A124" s="789"/>
      <c r="B124" s="764"/>
      <c r="C124" s="764" t="s">
        <v>54</v>
      </c>
      <c r="D124" s="764"/>
      <c r="E124" s="764"/>
      <c r="F124" s="764"/>
      <c r="G124" s="764"/>
      <c r="H124" s="764"/>
      <c r="I124" s="764"/>
      <c r="J124" s="764"/>
      <c r="K124" s="764"/>
      <c r="L124" s="790"/>
      <c r="M124" s="790"/>
      <c r="N124" s="790">
        <f>SUM(N111:N123)</f>
        <v>3795.7200000000003</v>
      </c>
      <c r="O124" s="790">
        <f>SUM(O111:O123)</f>
        <v>1215.4650000000001</v>
      </c>
      <c r="P124" s="790">
        <f>SUM(P111:P123)</f>
        <v>486.18600000000004</v>
      </c>
      <c r="Q124" s="790">
        <f>SUM(Q111:Q123)</f>
        <v>97.237200000000001</v>
      </c>
      <c r="R124" s="764"/>
      <c r="S124" s="764"/>
    </row>
    <row r="125" spans="1:21" x14ac:dyDescent="0.25">
      <c r="B125" s="109"/>
      <c r="C125" s="109"/>
      <c r="D125" s="109"/>
      <c r="E125" s="109"/>
      <c r="F125" s="109"/>
      <c r="G125" s="109"/>
      <c r="H125" s="109"/>
      <c r="I125" s="109"/>
      <c r="J125" s="109"/>
      <c r="K125" s="109"/>
      <c r="L125" s="109"/>
      <c r="M125" s="109"/>
      <c r="N125" s="767"/>
      <c r="O125" s="767"/>
      <c r="P125" s="767"/>
      <c r="Q125" s="767"/>
      <c r="R125" s="767"/>
      <c r="S125" s="767"/>
      <c r="T125" s="5"/>
      <c r="U125" s="5"/>
    </row>
  </sheetData>
  <mergeCells count="23">
    <mergeCell ref="B86:M86"/>
    <mergeCell ref="E88:G88"/>
    <mergeCell ref="H88:I88"/>
    <mergeCell ref="J88:K88"/>
    <mergeCell ref="L88:M88"/>
    <mergeCell ref="H39:I39"/>
    <mergeCell ref="F59:G59"/>
    <mergeCell ref="H59:I59"/>
    <mergeCell ref="L37:M37"/>
    <mergeCell ref="F44:G44"/>
    <mergeCell ref="H44:I44"/>
    <mergeCell ref="F51:G51"/>
    <mergeCell ref="H51:I51"/>
    <mergeCell ref="B27:D27"/>
    <mergeCell ref="B32:D32"/>
    <mergeCell ref="B34:D34"/>
    <mergeCell ref="B37:E37"/>
    <mergeCell ref="F39:G39"/>
    <mergeCell ref="B2:C2"/>
    <mergeCell ref="B4:L4"/>
    <mergeCell ref="O13:Q13"/>
    <mergeCell ref="B17:D17"/>
    <mergeCell ref="C23:D23"/>
  </mergeCells>
  <phoneticPr fontId="2" type="noConversion"/>
  <hyperlinks>
    <hyperlink ref="B2" location="Tilakokonaisuus!A1" display="PALAA ETUSIVULLE" xr:uid="{7437E3ED-A0BE-2C41-BD8A-0DF40EFFA518}"/>
    <hyperlink ref="B2:C2" location="'Gårdens info'!A1" display="TILL FRAMSIDAN" xr:uid="{CADD7FAD-9A3E-E440-9060-48445B8E9097}"/>
    <hyperlink ref="L37" location="'Avomaan mansikka'!B2" display="PALAA SIVUN YLÄLAITAAN" xr:uid="{429D406A-D544-5B47-9CFC-67BC7DF3A600}"/>
    <hyperlink ref="L37:M37" location="'Förkultivering av kål'!A1" display="TILL SIDANS BÖRJAN" xr:uid="{400928EA-EC28-7943-9427-19E84B9C54AD}"/>
  </hyperlinks>
  <pageMargins left="0.7" right="0.7" top="0.75" bottom="0.75" header="0.3" footer="0.3"/>
  <pageSetup paperSize="9"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952AC-558E-D44D-AC2F-4D60B0568806}">
  <sheetPr>
    <tabColor theme="1" tint="0.499984740745262"/>
  </sheetPr>
  <dimension ref="A1:BE263"/>
  <sheetViews>
    <sheetView zoomScale="52" zoomScaleNormal="40" workbookViewId="0">
      <selection activeCell="C225" sqref="C225"/>
    </sheetView>
  </sheetViews>
  <sheetFormatPr defaultColWidth="11.44140625" defaultRowHeight="13.2" x14ac:dyDescent="0.25"/>
  <cols>
    <col min="1" max="1" width="5.33203125" style="883" customWidth="1"/>
    <col min="2" max="2" width="13" customWidth="1"/>
    <col min="3" max="3" width="16.6640625" customWidth="1"/>
    <col min="4" max="4" width="24.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7.6640625" customWidth="1"/>
    <col min="16" max="16" width="4.44140625" customWidth="1"/>
    <col min="17" max="17" width="15" customWidth="1"/>
    <col min="18" max="18" width="5.109375" customWidth="1"/>
    <col min="19" max="19" width="18.33203125" bestFit="1" customWidth="1"/>
    <col min="31" max="31" width="56.44140625" customWidth="1"/>
    <col min="57" max="57" width="16.109375" customWidth="1"/>
  </cols>
  <sheetData>
    <row r="1" spans="2:57" s="883" customFormat="1" ht="22.8" x14ac:dyDescent="0.4">
      <c r="B1" s="891" t="s">
        <v>32</v>
      </c>
    </row>
    <row r="2" spans="2:57" ht="27" customHeight="1" x14ac:dyDescent="0.4">
      <c r="B2" s="1107" t="s">
        <v>201</v>
      </c>
      <c r="C2" s="1107"/>
      <c r="F2" s="69"/>
      <c r="G2" s="69"/>
      <c r="H2" s="69"/>
      <c r="AE2" s="804" t="s">
        <v>310</v>
      </c>
      <c r="AG2" s="804"/>
    </row>
    <row r="3" spans="2:57" ht="27" customHeight="1" x14ac:dyDescent="0.4">
      <c r="B3" s="189"/>
      <c r="C3" s="189"/>
      <c r="AE3" s="56" t="s">
        <v>311</v>
      </c>
      <c r="AF3" s="804"/>
      <c r="AG3" s="804"/>
    </row>
    <row r="4" spans="2:57" ht="36" customHeight="1" thickBot="1" x14ac:dyDescent="0.3">
      <c r="B4" s="1098" t="s">
        <v>453</v>
      </c>
      <c r="C4" s="1098"/>
      <c r="D4" s="1098"/>
      <c r="E4" s="1098"/>
      <c r="F4" s="1098"/>
      <c r="G4" s="1098"/>
      <c r="H4" s="1098"/>
      <c r="I4" s="1098"/>
      <c r="J4" s="1098"/>
      <c r="K4" s="1098"/>
      <c r="L4" s="1098"/>
    </row>
    <row r="5" spans="2:57" ht="36" customHeight="1" x14ac:dyDescent="0.3">
      <c r="B5" s="1098"/>
      <c r="C5" s="1098"/>
      <c r="D5" s="1098"/>
      <c r="E5" s="1098"/>
      <c r="F5" s="1098"/>
      <c r="G5" s="1098"/>
      <c r="H5" s="1098"/>
      <c r="I5" s="1098"/>
      <c r="J5" s="1098"/>
      <c r="K5" s="1098"/>
      <c r="L5" s="1098"/>
      <c r="AE5" s="848"/>
      <c r="AF5" s="1100" t="s">
        <v>312</v>
      </c>
      <c r="AG5" s="1100"/>
      <c r="AH5" s="1100" t="s">
        <v>313</v>
      </c>
      <c r="AI5" s="1100"/>
      <c r="AJ5" s="1100" t="s">
        <v>314</v>
      </c>
      <c r="AK5" s="1100"/>
      <c r="AL5" s="1100" t="s">
        <v>315</v>
      </c>
      <c r="AM5" s="1100"/>
      <c r="AN5" s="1100" t="s">
        <v>316</v>
      </c>
      <c r="AO5" s="1100"/>
      <c r="AP5" s="1100" t="s">
        <v>317</v>
      </c>
      <c r="AQ5" s="1100"/>
      <c r="AR5" s="1100" t="s">
        <v>318</v>
      </c>
      <c r="AS5" s="1100"/>
      <c r="AT5" s="1100" t="s">
        <v>319</v>
      </c>
      <c r="AU5" s="1100"/>
      <c r="AV5" s="1100" t="s">
        <v>376</v>
      </c>
      <c r="AW5" s="1100"/>
      <c r="AX5" s="1100" t="s">
        <v>321</v>
      </c>
      <c r="AY5" s="1100"/>
      <c r="AZ5" s="1100" t="s">
        <v>322</v>
      </c>
      <c r="BA5" s="1100"/>
      <c r="BB5" s="1100" t="s">
        <v>323</v>
      </c>
      <c r="BC5" s="1100"/>
      <c r="BD5" s="821" t="s">
        <v>324</v>
      </c>
      <c r="BE5" s="805"/>
    </row>
    <row r="6" spans="2:57" ht="36" customHeight="1" x14ac:dyDescent="0.4">
      <c r="B6" s="947" t="s">
        <v>454</v>
      </c>
      <c r="C6" s="947"/>
      <c r="D6" s="947"/>
      <c r="E6" s="947"/>
      <c r="F6" s="947"/>
      <c r="G6" s="947"/>
      <c r="H6" s="947"/>
      <c r="I6" s="947"/>
      <c r="J6" s="947"/>
      <c r="K6" s="784"/>
      <c r="L6" s="784"/>
      <c r="AE6" s="291" t="s">
        <v>326</v>
      </c>
      <c r="AF6" s="826"/>
      <c r="AG6" s="826"/>
      <c r="AH6" s="827">
        <v>1</v>
      </c>
      <c r="AI6" s="827"/>
      <c r="AJ6" s="827">
        <v>1</v>
      </c>
      <c r="AK6" s="827"/>
      <c r="AL6" s="826">
        <v>1</v>
      </c>
      <c r="AM6" s="826"/>
      <c r="AN6" s="826">
        <v>1</v>
      </c>
      <c r="AO6" s="826"/>
      <c r="AP6" s="826">
        <v>1</v>
      </c>
      <c r="AQ6" s="826"/>
      <c r="AR6" s="826">
        <v>1</v>
      </c>
      <c r="AS6" s="826"/>
      <c r="AT6" s="826">
        <v>1</v>
      </c>
      <c r="AU6" s="826"/>
      <c r="AV6" s="826">
        <v>1</v>
      </c>
      <c r="AW6" s="826"/>
      <c r="AX6" s="826">
        <v>1</v>
      </c>
      <c r="AY6" s="826"/>
      <c r="AZ6" s="826">
        <v>1</v>
      </c>
      <c r="BA6" s="826"/>
      <c r="BB6" s="826">
        <v>1</v>
      </c>
      <c r="BC6" s="826"/>
      <c r="BD6" s="817">
        <f>SUM(AF6:BB6)</f>
        <v>11</v>
      </c>
      <c r="BE6" s="807" t="s">
        <v>327</v>
      </c>
    </row>
    <row r="7" spans="2:57" ht="36" customHeight="1" thickBot="1" x14ac:dyDescent="0.45">
      <c r="B7" s="892"/>
      <c r="C7" s="892"/>
      <c r="D7" s="892"/>
      <c r="E7" s="892"/>
      <c r="F7" s="892"/>
      <c r="G7" s="892"/>
      <c r="H7" s="892"/>
      <c r="I7" s="892"/>
      <c r="J7" s="892"/>
      <c r="K7" s="784"/>
      <c r="L7" s="784"/>
      <c r="AE7" s="291" t="s">
        <v>328</v>
      </c>
      <c r="AF7" s="56"/>
      <c r="AG7" s="56"/>
      <c r="AH7" s="56"/>
      <c r="AI7" s="56"/>
      <c r="AJ7" s="56"/>
      <c r="AK7" s="56"/>
      <c r="AL7" s="56"/>
      <c r="AM7" s="56"/>
      <c r="AN7" s="56"/>
      <c r="AO7" s="56"/>
      <c r="AP7" s="56"/>
      <c r="AQ7" s="56"/>
      <c r="AR7" s="56"/>
      <c r="AS7" s="56"/>
      <c r="AT7" s="56"/>
      <c r="AU7" s="56"/>
      <c r="AV7" s="56"/>
      <c r="AW7" s="56"/>
      <c r="AX7" s="56"/>
      <c r="AY7" s="56"/>
      <c r="AZ7" s="56"/>
      <c r="BA7" s="56"/>
      <c r="BB7" s="56"/>
      <c r="BC7" s="56"/>
      <c r="BD7" s="817">
        <f t="shared" ref="BD7:BD21" si="0">SUM(AF7:BB7)</f>
        <v>0</v>
      </c>
      <c r="BE7" s="807"/>
    </row>
    <row r="8" spans="2:57" ht="69" customHeight="1" x14ac:dyDescent="0.3">
      <c r="B8" s="904"/>
      <c r="C8" s="905"/>
      <c r="D8" s="905"/>
      <c r="E8" s="905"/>
      <c r="F8" s="1104" t="s">
        <v>455</v>
      </c>
      <c r="G8" s="1104"/>
      <c r="H8" s="919"/>
      <c r="I8" s="919"/>
      <c r="J8" s="1104" t="s">
        <v>456</v>
      </c>
      <c r="K8" s="1104"/>
      <c r="L8" s="906"/>
      <c r="AE8" s="291" t="s">
        <v>329</v>
      </c>
      <c r="AF8" s="56"/>
      <c r="AG8" s="56"/>
      <c r="AH8" s="56"/>
      <c r="AI8" s="56"/>
      <c r="AJ8" s="56"/>
      <c r="AK8" s="56"/>
      <c r="AL8" s="56"/>
      <c r="AM8" s="56"/>
      <c r="AN8" s="826">
        <v>3</v>
      </c>
      <c r="AO8" s="56"/>
      <c r="AP8" s="56"/>
      <c r="AQ8" s="56"/>
      <c r="AR8" s="56"/>
      <c r="AS8" s="56"/>
      <c r="AT8" s="56"/>
      <c r="AU8" s="56"/>
      <c r="AV8" s="56"/>
      <c r="AW8" s="56"/>
      <c r="AX8" s="56"/>
      <c r="AY8" s="56"/>
      <c r="AZ8" s="56"/>
      <c r="BA8" s="56"/>
      <c r="BB8" s="56"/>
      <c r="BC8" s="56"/>
      <c r="BD8" s="817">
        <f t="shared" si="0"/>
        <v>3</v>
      </c>
      <c r="BE8" s="807"/>
    </row>
    <row r="9" spans="2:57" ht="22.2" customHeight="1" x14ac:dyDescent="0.4">
      <c r="B9" s="257" t="s">
        <v>204</v>
      </c>
      <c r="C9" s="225"/>
      <c r="D9" s="116"/>
      <c r="E9" s="119"/>
      <c r="F9" s="785"/>
      <c r="G9" s="785"/>
      <c r="H9" s="785"/>
      <c r="I9" s="785"/>
      <c r="J9" s="785"/>
      <c r="K9" s="785"/>
      <c r="L9" s="907"/>
      <c r="AA9" s="56"/>
      <c r="AE9" s="291" t="s">
        <v>379</v>
      </c>
      <c r="AF9" s="56"/>
      <c r="AG9" s="56"/>
      <c r="AH9" s="56"/>
      <c r="AI9" s="56"/>
      <c r="AJ9" s="56"/>
      <c r="AK9" s="56"/>
      <c r="AL9" s="56"/>
      <c r="AM9" s="56"/>
      <c r="AN9" s="826">
        <v>1</v>
      </c>
      <c r="AO9" s="56"/>
      <c r="AP9" s="56"/>
      <c r="AQ9" s="56"/>
      <c r="AR9" s="56"/>
      <c r="AS9" s="56"/>
      <c r="AT9" s="56"/>
      <c r="AU9" s="56"/>
      <c r="AV9" s="56"/>
      <c r="AW9" s="56"/>
      <c r="AX9" s="56"/>
      <c r="AY9" s="56"/>
      <c r="AZ9" s="56"/>
      <c r="BA9" s="56"/>
      <c r="BB9" s="56"/>
      <c r="BC9" s="56"/>
      <c r="BD9" s="817">
        <f t="shared" si="0"/>
        <v>1</v>
      </c>
      <c r="BE9" s="807"/>
    </row>
    <row r="10" spans="2:57" ht="22.2" customHeight="1" x14ac:dyDescent="0.4">
      <c r="B10" s="257"/>
      <c r="C10" s="225"/>
      <c r="D10" s="116"/>
      <c r="E10" s="119"/>
      <c r="F10" s="785"/>
      <c r="G10" s="785"/>
      <c r="H10" s="785"/>
      <c r="I10" s="785"/>
      <c r="J10" s="785"/>
      <c r="K10" s="785"/>
      <c r="L10" s="907"/>
      <c r="AE10" s="291" t="s">
        <v>298</v>
      </c>
      <c r="AF10" s="56"/>
      <c r="AG10" s="56"/>
      <c r="AH10" s="56"/>
      <c r="AI10" s="56"/>
      <c r="AJ10" s="56"/>
      <c r="AK10" s="56"/>
      <c r="AL10" s="56"/>
      <c r="AM10" s="56"/>
      <c r="AN10" s="56"/>
      <c r="AO10" s="828">
        <v>10</v>
      </c>
      <c r="AP10" s="827"/>
      <c r="AQ10" s="56"/>
      <c r="AR10" s="56"/>
      <c r="AS10" s="56"/>
      <c r="AT10" s="56"/>
      <c r="AU10" s="56"/>
      <c r="AV10" s="56"/>
      <c r="AW10" s="56"/>
      <c r="AX10" s="56"/>
      <c r="AY10" s="56"/>
      <c r="AZ10" s="56"/>
      <c r="BA10" s="56"/>
      <c r="BB10" s="56"/>
      <c r="BC10" s="56"/>
      <c r="BD10" s="817">
        <f t="shared" si="0"/>
        <v>10</v>
      </c>
      <c r="BE10" s="807"/>
    </row>
    <row r="11" spans="2:57" ht="22.2" customHeight="1" x14ac:dyDescent="0.3">
      <c r="B11" s="227"/>
      <c r="C11" s="228" t="s">
        <v>205</v>
      </c>
      <c r="D11" s="119"/>
      <c r="E11" s="119"/>
      <c r="F11" s="908">
        <f>Kål!F10</f>
        <v>37000</v>
      </c>
      <c r="G11" s="909" t="s">
        <v>57</v>
      </c>
      <c r="H11" s="909"/>
      <c r="I11" s="909"/>
      <c r="J11" s="908">
        <f>F76</f>
        <v>37000</v>
      </c>
      <c r="K11" s="909" t="s">
        <v>57</v>
      </c>
      <c r="L11" s="907"/>
      <c r="AE11" s="291" t="s">
        <v>332</v>
      </c>
      <c r="AF11" s="56"/>
      <c r="AG11" s="56"/>
      <c r="AH11" s="56"/>
      <c r="AI11" s="56"/>
      <c r="AJ11" s="56"/>
      <c r="AK11" s="56"/>
      <c r="AL11" s="56"/>
      <c r="AM11" s="56"/>
      <c r="AN11" s="826">
        <v>2</v>
      </c>
      <c r="AO11" s="56"/>
      <c r="AP11" s="56"/>
      <c r="AQ11" s="826">
        <v>2</v>
      </c>
      <c r="AR11" s="826">
        <v>2</v>
      </c>
      <c r="AS11" s="56"/>
      <c r="AT11" s="56"/>
      <c r="AU11" s="56"/>
      <c r="AV11" s="56"/>
      <c r="AW11" s="56"/>
      <c r="AX11" s="56"/>
      <c r="AY11" s="56"/>
      <c r="AZ11" s="56"/>
      <c r="BA11" s="56"/>
      <c r="BB11" s="56"/>
      <c r="BC11" s="56"/>
      <c r="BD11" s="817">
        <f t="shared" si="0"/>
        <v>6</v>
      </c>
      <c r="BE11" s="807"/>
    </row>
    <row r="12" spans="2:57" ht="22.2" customHeight="1" x14ac:dyDescent="0.3">
      <c r="B12" s="227"/>
      <c r="C12" s="119" t="s">
        <v>211</v>
      </c>
      <c r="D12" s="119"/>
      <c r="E12" s="119"/>
      <c r="F12" s="908">
        <f>Kål!F11</f>
        <v>1027.0999999999999</v>
      </c>
      <c r="G12" s="909" t="s">
        <v>57</v>
      </c>
      <c r="H12" s="909"/>
      <c r="I12" s="909"/>
      <c r="J12" s="908">
        <f t="shared" ref="J12:J13" si="1">F77</f>
        <v>1027.0999999999999</v>
      </c>
      <c r="K12" s="909" t="s">
        <v>57</v>
      </c>
      <c r="L12" s="907"/>
      <c r="AE12" s="291" t="s">
        <v>334</v>
      </c>
      <c r="AF12" s="56"/>
      <c r="AG12" s="56"/>
      <c r="AH12" s="56"/>
      <c r="AI12" s="56"/>
      <c r="AJ12" s="56"/>
      <c r="AK12" s="56"/>
      <c r="AL12" s="56"/>
      <c r="AM12" s="56"/>
      <c r="AN12" s="826">
        <v>4</v>
      </c>
      <c r="AO12" s="56"/>
      <c r="AP12" s="56"/>
      <c r="AQ12" s="120"/>
      <c r="AR12" s="120"/>
      <c r="AS12" s="56"/>
      <c r="AT12" s="56"/>
      <c r="AU12" s="56"/>
      <c r="AV12" s="56"/>
      <c r="AW12" s="56"/>
      <c r="AX12" s="56"/>
      <c r="AY12" s="56"/>
      <c r="AZ12" s="56"/>
      <c r="BA12" s="56"/>
      <c r="BB12" s="56"/>
      <c r="BC12" s="56"/>
      <c r="BD12" s="817">
        <f t="shared" si="0"/>
        <v>4</v>
      </c>
      <c r="BE12" s="807"/>
    </row>
    <row r="13" spans="2:57" ht="22.2" customHeight="1" x14ac:dyDescent="0.4">
      <c r="B13" s="1061" t="s">
        <v>214</v>
      </c>
      <c r="C13" s="1043"/>
      <c r="D13" s="1043"/>
      <c r="E13" s="913"/>
      <c r="F13" s="914">
        <f>SUM(F11:F12)</f>
        <v>38027.1</v>
      </c>
      <c r="G13" s="915" t="s">
        <v>57</v>
      </c>
      <c r="H13" s="915"/>
      <c r="I13" s="915"/>
      <c r="J13" s="914">
        <f t="shared" si="1"/>
        <v>38027.1</v>
      </c>
      <c r="K13" s="915" t="s">
        <v>57</v>
      </c>
      <c r="L13" s="907"/>
      <c r="AE13" s="291" t="s">
        <v>335</v>
      </c>
      <c r="AF13" s="818"/>
      <c r="AG13" s="818"/>
      <c r="AH13" s="818"/>
      <c r="AI13" s="818"/>
      <c r="AJ13" s="818"/>
      <c r="AK13" s="818"/>
      <c r="AL13" s="818"/>
      <c r="AM13" s="818"/>
      <c r="AN13" s="826">
        <v>3</v>
      </c>
      <c r="AO13" s="826">
        <v>3</v>
      </c>
      <c r="AP13" s="826">
        <v>3</v>
      </c>
      <c r="AQ13" s="826">
        <v>3</v>
      </c>
      <c r="AR13" s="826">
        <v>3</v>
      </c>
      <c r="AS13" s="826">
        <v>3</v>
      </c>
      <c r="AT13" s="818"/>
      <c r="AU13" s="818"/>
      <c r="AV13" s="818"/>
      <c r="AW13" s="818"/>
      <c r="AX13" s="818"/>
      <c r="AY13" s="818"/>
      <c r="AZ13" s="818"/>
      <c r="BA13" s="818"/>
      <c r="BB13" s="818"/>
      <c r="BC13" s="818"/>
      <c r="BD13" s="817">
        <f t="shared" si="0"/>
        <v>18</v>
      </c>
      <c r="BE13" s="808"/>
    </row>
    <row r="14" spans="2:57" ht="22.2" customHeight="1" x14ac:dyDescent="0.4">
      <c r="B14" s="288"/>
      <c r="C14" s="270"/>
      <c r="D14" s="270"/>
      <c r="E14" s="262"/>
      <c r="F14" s="910"/>
      <c r="G14" s="909"/>
      <c r="H14" s="909"/>
      <c r="I14" s="909"/>
      <c r="J14" s="910"/>
      <c r="K14" s="909"/>
      <c r="L14" s="907"/>
      <c r="AE14" s="931" t="s">
        <v>336</v>
      </c>
      <c r="AF14" s="818"/>
      <c r="AG14" s="818"/>
      <c r="AH14" s="818"/>
      <c r="AI14" s="818"/>
      <c r="AJ14" s="818"/>
      <c r="AK14" s="818"/>
      <c r="AL14" s="818"/>
      <c r="AM14" s="818"/>
      <c r="AN14" s="818"/>
      <c r="AO14" s="818"/>
      <c r="AP14" s="818"/>
      <c r="AQ14" s="818"/>
      <c r="AR14" s="818"/>
      <c r="AS14" s="818"/>
      <c r="AT14" s="826">
        <v>4</v>
      </c>
      <c r="AU14" s="818"/>
      <c r="AV14" s="818"/>
      <c r="AW14" s="818"/>
      <c r="AX14" s="818"/>
      <c r="AY14" s="818"/>
      <c r="AZ14" s="818"/>
      <c r="BA14" s="818"/>
      <c r="BB14" s="818"/>
      <c r="BC14" s="818"/>
      <c r="BD14" s="817">
        <f t="shared" si="0"/>
        <v>4</v>
      </c>
      <c r="BE14" s="808"/>
    </row>
    <row r="15" spans="2:57" ht="22.2" customHeight="1" x14ac:dyDescent="0.3">
      <c r="B15" s="231"/>
      <c r="C15" s="225"/>
      <c r="D15" s="116"/>
      <c r="E15" s="116"/>
      <c r="F15" s="910"/>
      <c r="G15" s="909"/>
      <c r="H15" s="909"/>
      <c r="I15" s="909"/>
      <c r="J15" s="910"/>
      <c r="K15" s="909"/>
      <c r="L15" s="907"/>
      <c r="AE15" s="291" t="s">
        <v>337</v>
      </c>
      <c r="AF15" s="56"/>
      <c r="AG15" s="56"/>
      <c r="AH15" s="56"/>
      <c r="AI15" s="56"/>
      <c r="AJ15" s="56"/>
      <c r="AK15" s="56"/>
      <c r="AL15" s="56"/>
      <c r="AM15" s="56"/>
      <c r="AN15" s="56"/>
      <c r="AO15" s="826">
        <v>2</v>
      </c>
      <c r="AP15" s="826">
        <v>2</v>
      </c>
      <c r="AQ15" s="56"/>
      <c r="AR15" s="56"/>
      <c r="AS15" s="56"/>
      <c r="AT15" s="56"/>
      <c r="AU15" s="56"/>
      <c r="AV15" s="56"/>
      <c r="AW15" s="826">
        <v>2</v>
      </c>
      <c r="AX15" s="826"/>
      <c r="AY15" s="56"/>
      <c r="AZ15" s="56"/>
      <c r="BA15" s="56"/>
      <c r="BB15" s="56"/>
      <c r="BC15" s="56"/>
      <c r="BD15" s="817">
        <f t="shared" si="0"/>
        <v>6</v>
      </c>
      <c r="BE15" s="807"/>
    </row>
    <row r="16" spans="2:57" ht="22.2" customHeight="1" x14ac:dyDescent="0.4">
      <c r="B16" s="257" t="s">
        <v>186</v>
      </c>
      <c r="C16" s="225"/>
      <c r="D16" s="116"/>
      <c r="E16" s="116"/>
      <c r="F16" s="910"/>
      <c r="G16" s="909"/>
      <c r="H16" s="909"/>
      <c r="I16" s="909"/>
      <c r="J16" s="910"/>
      <c r="K16" s="909"/>
      <c r="L16" s="907"/>
      <c r="AA16" s="56"/>
      <c r="AE16" s="291" t="s">
        <v>338</v>
      </c>
      <c r="AF16" s="56"/>
      <c r="AG16" s="56"/>
      <c r="AH16" s="56"/>
      <c r="AI16" s="56"/>
      <c r="AJ16" s="56"/>
      <c r="AK16" s="56"/>
      <c r="AL16" s="56"/>
      <c r="AM16" s="56"/>
      <c r="AN16" s="56"/>
      <c r="AO16" s="56"/>
      <c r="AP16" s="826">
        <v>1</v>
      </c>
      <c r="AQ16" s="826">
        <v>1</v>
      </c>
      <c r="AR16" s="56"/>
      <c r="AS16" s="56"/>
      <c r="AT16" s="56"/>
      <c r="AU16" s="56"/>
      <c r="AV16" s="56"/>
      <c r="AW16" s="56"/>
      <c r="AX16" s="56"/>
      <c r="AY16" s="56"/>
      <c r="AZ16" s="56"/>
      <c r="BA16" s="56"/>
      <c r="BB16" s="56"/>
      <c r="BC16" s="56"/>
      <c r="BD16" s="817">
        <f t="shared" si="0"/>
        <v>2</v>
      </c>
      <c r="BE16" s="807"/>
    </row>
    <row r="17" spans="2:57" ht="22.2" customHeight="1" x14ac:dyDescent="0.3">
      <c r="B17" s="235"/>
      <c r="C17" s="245"/>
      <c r="D17" s="249"/>
      <c r="E17" s="249"/>
      <c r="F17" s="910"/>
      <c r="G17" s="909"/>
      <c r="H17" s="909"/>
      <c r="I17" s="909"/>
      <c r="J17" s="910"/>
      <c r="K17" s="909"/>
      <c r="L17" s="907"/>
      <c r="AE17" s="291" t="s">
        <v>457</v>
      </c>
      <c r="AF17" s="56"/>
      <c r="AG17" s="56"/>
      <c r="AH17" s="56"/>
      <c r="AI17" s="56"/>
      <c r="AJ17" s="56"/>
      <c r="AK17" s="56"/>
      <c r="AL17" s="56"/>
      <c r="AM17" s="56"/>
      <c r="AN17" s="56"/>
      <c r="AO17" s="826">
        <v>5</v>
      </c>
      <c r="AP17" s="826">
        <v>5</v>
      </c>
      <c r="AQ17" s="56"/>
      <c r="AR17" s="826">
        <v>5</v>
      </c>
      <c r="AS17" s="826">
        <v>5</v>
      </c>
      <c r="AT17" s="826">
        <v>5</v>
      </c>
      <c r="AU17" s="826">
        <v>5</v>
      </c>
      <c r="AV17" s="56"/>
      <c r="AW17" s="56"/>
      <c r="AX17" s="56"/>
      <c r="AY17" s="56"/>
      <c r="AZ17" s="56"/>
      <c r="BA17" s="56"/>
      <c r="BB17" s="56"/>
      <c r="BC17" s="56"/>
      <c r="BD17" s="817">
        <f t="shared" si="0"/>
        <v>30</v>
      </c>
      <c r="BE17" s="807"/>
    </row>
    <row r="18" spans="2:57" ht="22.2" customHeight="1" x14ac:dyDescent="0.3">
      <c r="B18" s="235"/>
      <c r="C18" s="228" t="s">
        <v>382</v>
      </c>
      <c r="D18" s="236"/>
      <c r="E18" s="236"/>
      <c r="F18" s="908">
        <f>Kål!F17</f>
        <v>1350</v>
      </c>
      <c r="G18" s="911" t="s">
        <v>57</v>
      </c>
      <c r="H18" s="911"/>
      <c r="I18" s="911"/>
      <c r="J18" s="908">
        <f>F83</f>
        <v>1350</v>
      </c>
      <c r="K18" s="911" t="s">
        <v>57</v>
      </c>
      <c r="L18" s="907"/>
      <c r="AE18" s="291" t="s">
        <v>383</v>
      </c>
      <c r="AF18" s="56"/>
      <c r="AG18" s="56"/>
      <c r="AH18" s="56"/>
      <c r="AI18" s="56"/>
      <c r="AJ18" s="56"/>
      <c r="AK18" s="56"/>
      <c r="AL18" s="56"/>
      <c r="AM18" s="56"/>
      <c r="AN18" s="56"/>
      <c r="AO18" s="56"/>
      <c r="AP18" s="56"/>
      <c r="AQ18" s="56"/>
      <c r="AR18" s="826">
        <v>20</v>
      </c>
      <c r="AS18" s="826">
        <v>20</v>
      </c>
      <c r="AT18" s="56"/>
      <c r="AU18" s="56"/>
      <c r="AV18" s="56"/>
      <c r="AW18" s="56"/>
      <c r="AX18" s="56"/>
      <c r="AY18" s="56"/>
      <c r="AZ18" s="56"/>
      <c r="BA18" s="56"/>
      <c r="BB18" s="56"/>
      <c r="BC18" s="56"/>
      <c r="BD18" s="817">
        <f t="shared" si="0"/>
        <v>40</v>
      </c>
      <c r="BE18" s="807"/>
    </row>
    <row r="19" spans="2:57" ht="22.2" customHeight="1" x14ac:dyDescent="0.3">
      <c r="B19" s="235"/>
      <c r="C19" s="228" t="s">
        <v>219</v>
      </c>
      <c r="D19" s="236"/>
      <c r="E19" s="236"/>
      <c r="F19" s="908">
        <f>Kål!F18</f>
        <v>1720</v>
      </c>
      <c r="G19" s="911" t="s">
        <v>57</v>
      </c>
      <c r="H19" s="911"/>
      <c r="I19" s="911"/>
      <c r="J19" s="908">
        <f t="shared" ref="J19:J26" si="2">F84</f>
        <v>1720</v>
      </c>
      <c r="K19" s="911" t="s">
        <v>57</v>
      </c>
      <c r="L19" s="907"/>
      <c r="AE19" s="291" t="s">
        <v>341</v>
      </c>
      <c r="AF19" s="826"/>
      <c r="AG19" s="826">
        <v>3</v>
      </c>
      <c r="AH19" s="826"/>
      <c r="AI19" s="826">
        <v>3</v>
      </c>
      <c r="AJ19" s="826"/>
      <c r="AK19" s="826">
        <v>3</v>
      </c>
      <c r="AL19" s="826"/>
      <c r="AM19" s="56"/>
      <c r="AN19" s="56"/>
      <c r="AO19" s="56"/>
      <c r="AP19" s="56"/>
      <c r="AQ19" s="56"/>
      <c r="AR19" s="56"/>
      <c r="AS19" s="56"/>
      <c r="AT19" s="56"/>
      <c r="AU19" s="56"/>
      <c r="AV19" s="56"/>
      <c r="AW19" s="56"/>
      <c r="AX19" s="56"/>
      <c r="AY19" s="56"/>
      <c r="AZ19" s="56"/>
      <c r="BA19" s="56"/>
      <c r="BB19" s="56"/>
      <c r="BC19" s="56"/>
      <c r="BD19" s="817">
        <f t="shared" si="0"/>
        <v>9</v>
      </c>
      <c r="BE19" s="807"/>
    </row>
    <row r="20" spans="2:57" ht="22.2" customHeight="1" x14ac:dyDescent="0.3">
      <c r="B20" s="235"/>
      <c r="C20" s="228" t="s">
        <v>220</v>
      </c>
      <c r="D20" s="236"/>
      <c r="E20" s="236"/>
      <c r="F20" s="908">
        <f>Kål!F19</f>
        <v>800.1</v>
      </c>
      <c r="G20" s="911" t="s">
        <v>57</v>
      </c>
      <c r="H20" s="911"/>
      <c r="I20" s="911"/>
      <c r="J20" s="908">
        <f t="shared" si="2"/>
        <v>722.1</v>
      </c>
      <c r="K20" s="911" t="s">
        <v>57</v>
      </c>
      <c r="L20" s="907"/>
      <c r="AE20" s="291" t="s">
        <v>38</v>
      </c>
      <c r="AF20" s="56"/>
      <c r="AG20" s="56"/>
      <c r="AH20" s="56"/>
      <c r="AI20" s="56"/>
      <c r="AJ20" s="56"/>
      <c r="AK20" s="56"/>
      <c r="AL20" s="56"/>
      <c r="AM20" s="56"/>
      <c r="AN20" s="56"/>
      <c r="AO20" s="56"/>
      <c r="AP20" s="56"/>
      <c r="AQ20" s="56"/>
      <c r="AR20" s="56"/>
      <c r="AS20" s="56"/>
      <c r="AT20" s="56"/>
      <c r="AU20" s="56"/>
      <c r="AV20" s="56"/>
      <c r="AW20" s="826">
        <v>10</v>
      </c>
      <c r="AX20" s="826">
        <v>10</v>
      </c>
      <c r="AY20" s="56"/>
      <c r="AZ20" s="56"/>
      <c r="BA20" s="56"/>
      <c r="BB20" s="56"/>
      <c r="BC20" s="56"/>
      <c r="BD20" s="817">
        <f t="shared" si="0"/>
        <v>20</v>
      </c>
      <c r="BE20" s="807"/>
    </row>
    <row r="21" spans="2:57" ht="22.2" customHeight="1" x14ac:dyDescent="0.3">
      <c r="B21" s="235"/>
      <c r="C21" s="228" t="s">
        <v>221</v>
      </c>
      <c r="D21" s="236"/>
      <c r="E21" s="236"/>
      <c r="F21" s="908">
        <f>Kål!F20</f>
        <v>833.33333333333337</v>
      </c>
      <c r="G21" s="911" t="s">
        <v>57</v>
      </c>
      <c r="H21" s="911"/>
      <c r="I21" s="911"/>
      <c r="J21" s="908">
        <f t="shared" si="2"/>
        <v>833.33333333333337</v>
      </c>
      <c r="K21" s="911" t="s">
        <v>57</v>
      </c>
      <c r="L21" s="907"/>
      <c r="O21" s="948"/>
      <c r="AE21" s="291" t="s">
        <v>458</v>
      </c>
      <c r="AF21" s="56"/>
      <c r="AG21" s="56"/>
      <c r="AH21" s="56"/>
      <c r="AI21" s="56"/>
      <c r="AJ21" s="56"/>
      <c r="AK21" s="56"/>
      <c r="AL21" s="56"/>
      <c r="AM21" s="56"/>
      <c r="AN21" s="56"/>
      <c r="AO21" s="56"/>
      <c r="AP21" s="56"/>
      <c r="AQ21" s="56"/>
      <c r="AR21" s="56"/>
      <c r="AS21" s="56"/>
      <c r="AT21" s="56"/>
      <c r="AU21" s="56"/>
      <c r="AV21" s="56"/>
      <c r="AW21" s="826">
        <v>5</v>
      </c>
      <c r="AX21" s="826">
        <v>5</v>
      </c>
      <c r="AY21" s="56"/>
      <c r="AZ21" s="56"/>
      <c r="BA21" s="56"/>
      <c r="BB21" s="56"/>
      <c r="BC21" s="56"/>
      <c r="BD21" s="817">
        <f t="shared" si="0"/>
        <v>10</v>
      </c>
      <c r="BE21" s="807"/>
    </row>
    <row r="22" spans="2:57" ht="22.2" customHeight="1" x14ac:dyDescent="0.3">
      <c r="B22" s="235"/>
      <c r="C22" s="228" t="s">
        <v>222</v>
      </c>
      <c r="D22" s="236"/>
      <c r="E22" s="236"/>
      <c r="F22" s="908">
        <f>Kål!F21</f>
        <v>900</v>
      </c>
      <c r="G22" s="911" t="s">
        <v>57</v>
      </c>
      <c r="H22" s="911"/>
      <c r="I22" s="911"/>
      <c r="J22" s="908">
        <f t="shared" si="2"/>
        <v>900</v>
      </c>
      <c r="K22" s="911" t="s">
        <v>57</v>
      </c>
      <c r="L22" s="907"/>
      <c r="O22" s="948"/>
      <c r="AA22" s="56"/>
      <c r="AE22" s="291" t="s">
        <v>306</v>
      </c>
      <c r="AF22" s="56"/>
      <c r="AG22" s="56"/>
      <c r="AH22" s="56"/>
      <c r="AI22" s="56"/>
      <c r="AJ22" s="56"/>
      <c r="AK22" s="56"/>
      <c r="AL22" s="56"/>
      <c r="AM22" s="56"/>
      <c r="AN22" s="56"/>
      <c r="AO22" s="56"/>
      <c r="AP22" s="56"/>
      <c r="AQ22" s="56"/>
      <c r="AR22" s="56"/>
      <c r="AS22" s="56"/>
      <c r="AT22" s="56"/>
      <c r="AU22" s="56"/>
      <c r="AV22" s="56"/>
      <c r="AW22" s="826">
        <v>6</v>
      </c>
      <c r="AX22" s="826">
        <v>6</v>
      </c>
      <c r="AY22" s="826">
        <v>6</v>
      </c>
      <c r="AZ22" s="826">
        <v>6</v>
      </c>
      <c r="BA22" s="826">
        <v>6</v>
      </c>
      <c r="BB22" s="826">
        <v>6</v>
      </c>
      <c r="BC22" s="826">
        <v>6</v>
      </c>
      <c r="BD22" s="817">
        <f>SUM(AF22:BC22)</f>
        <v>42</v>
      </c>
      <c r="BE22" s="807"/>
    </row>
    <row r="23" spans="2:57" ht="22.2" customHeight="1" x14ac:dyDescent="0.3">
      <c r="B23" s="235"/>
      <c r="C23" s="228" t="s">
        <v>223</v>
      </c>
      <c r="D23" s="236"/>
      <c r="E23" s="236"/>
      <c r="F23" s="908">
        <f>Kål!F22</f>
        <v>0</v>
      </c>
      <c r="G23" s="911" t="s">
        <v>57</v>
      </c>
      <c r="H23" s="911"/>
      <c r="I23" s="911"/>
      <c r="J23" s="908">
        <f t="shared" si="2"/>
        <v>0</v>
      </c>
      <c r="K23" s="911" t="s">
        <v>57</v>
      </c>
      <c r="L23" s="907"/>
      <c r="O23" s="948"/>
      <c r="AA23" s="56"/>
      <c r="AE23" s="291" t="s">
        <v>384</v>
      </c>
      <c r="AF23" s="56"/>
      <c r="AG23" s="56"/>
      <c r="AH23" s="56"/>
      <c r="AI23" s="56"/>
      <c r="AJ23" s="56"/>
      <c r="AK23" s="56"/>
      <c r="AL23" s="56"/>
      <c r="AM23" s="56"/>
      <c r="AN23" s="56"/>
      <c r="AO23" s="56"/>
      <c r="AP23" s="56"/>
      <c r="AQ23" s="56"/>
      <c r="AR23" s="56"/>
      <c r="AS23" s="56"/>
      <c r="AT23" s="56"/>
      <c r="AU23" s="56"/>
      <c r="AV23" s="56"/>
      <c r="AW23" s="56"/>
      <c r="AX23" s="56"/>
      <c r="AY23" s="826">
        <v>2</v>
      </c>
      <c r="AZ23" s="826">
        <v>2</v>
      </c>
      <c r="BA23" s="56"/>
      <c r="BB23" s="56"/>
      <c r="BC23" s="56"/>
      <c r="BD23" s="817">
        <f>SUM(AF23:BC23)</f>
        <v>4</v>
      </c>
      <c r="BE23" s="807"/>
    </row>
    <row r="24" spans="2:57" ht="22.2" customHeight="1" x14ac:dyDescent="0.3">
      <c r="B24" s="235"/>
      <c r="C24" s="228" t="s">
        <v>224</v>
      </c>
      <c r="D24" s="236"/>
      <c r="E24" s="236"/>
      <c r="F24" s="908">
        <f>Kål!F23</f>
        <v>1304.2399999999998</v>
      </c>
      <c r="G24" s="911" t="s">
        <v>57</v>
      </c>
      <c r="H24" s="911"/>
      <c r="I24" s="911"/>
      <c r="J24" s="908">
        <f t="shared" si="2"/>
        <v>1334.1200000000001</v>
      </c>
      <c r="K24" s="911" t="s">
        <v>57</v>
      </c>
      <c r="L24" s="907"/>
      <c r="O24" s="948"/>
      <c r="AA24" s="56"/>
      <c r="AE24" s="291" t="s">
        <v>343</v>
      </c>
      <c r="AF24" s="826">
        <v>6</v>
      </c>
      <c r="AG24" s="826">
        <v>6</v>
      </c>
      <c r="AH24" s="56"/>
      <c r="AI24" s="56"/>
      <c r="AJ24" s="56"/>
      <c r="AK24" s="56"/>
      <c r="AL24" s="56"/>
      <c r="AM24" s="56"/>
      <c r="AN24" s="56"/>
      <c r="AO24" s="56"/>
      <c r="AP24" s="56"/>
      <c r="AQ24" s="56"/>
      <c r="AR24" s="56"/>
      <c r="AS24" s="56"/>
      <c r="AT24" s="56"/>
      <c r="AU24" s="56"/>
      <c r="AV24" s="56"/>
      <c r="AW24" s="56"/>
      <c r="AX24" s="56"/>
      <c r="AY24" s="56"/>
      <c r="AZ24" s="56"/>
      <c r="BA24" s="56"/>
      <c r="BB24" s="56"/>
      <c r="BC24" s="56"/>
      <c r="BD24" s="817">
        <f t="shared" ref="BD24:BD33" si="3">SUM(AF24:BB24)</f>
        <v>12</v>
      </c>
      <c r="BE24" s="807"/>
    </row>
    <row r="25" spans="2:57" ht="22.2" customHeight="1" x14ac:dyDescent="0.3">
      <c r="B25" s="235"/>
      <c r="C25" s="228" t="s">
        <v>225</v>
      </c>
      <c r="D25" s="236"/>
      <c r="E25" s="236"/>
      <c r="F25" s="908">
        <f>Kål!F24</f>
        <v>1102</v>
      </c>
      <c r="G25" s="911" t="s">
        <v>57</v>
      </c>
      <c r="H25" s="911"/>
      <c r="I25" s="911"/>
      <c r="J25" s="908">
        <f t="shared" si="2"/>
        <v>1319.5</v>
      </c>
      <c r="K25" s="911" t="s">
        <v>57</v>
      </c>
      <c r="L25" s="907"/>
      <c r="AA25" s="56"/>
      <c r="AE25" s="291" t="s">
        <v>344</v>
      </c>
      <c r="AF25" s="56"/>
      <c r="AG25" s="56"/>
      <c r="AH25" s="826">
        <v>6</v>
      </c>
      <c r="AI25" s="826"/>
      <c r="AJ25" s="56"/>
      <c r="AK25" s="56"/>
      <c r="AL25" s="56"/>
      <c r="AM25" s="56"/>
      <c r="AN25" s="56"/>
      <c r="AO25" s="56"/>
      <c r="AP25" s="56"/>
      <c r="AQ25" s="56"/>
      <c r="AR25" s="56"/>
      <c r="AS25" s="56"/>
      <c r="AT25" s="56"/>
      <c r="AU25" s="56"/>
      <c r="AV25" s="56"/>
      <c r="AW25" s="56"/>
      <c r="AX25" s="56"/>
      <c r="AY25" s="56"/>
      <c r="AZ25" s="56"/>
      <c r="BA25" s="56"/>
      <c r="BB25" s="56"/>
      <c r="BC25" s="56"/>
      <c r="BD25" s="817">
        <f t="shared" si="3"/>
        <v>6</v>
      </c>
      <c r="BE25" s="807"/>
    </row>
    <row r="26" spans="2:57" ht="22.2" customHeight="1" x14ac:dyDescent="0.3">
      <c r="B26" s="251"/>
      <c r="C26" s="240" t="s">
        <v>54</v>
      </c>
      <c r="D26" s="241"/>
      <c r="E26" s="241"/>
      <c r="F26" s="908">
        <f>Kål!F25</f>
        <v>8009.6733333333332</v>
      </c>
      <c r="G26" s="911" t="s">
        <v>57</v>
      </c>
      <c r="H26" s="911"/>
      <c r="I26" s="911"/>
      <c r="J26" s="908">
        <f t="shared" si="2"/>
        <v>8179.0533333333333</v>
      </c>
      <c r="K26" s="911" t="s">
        <v>57</v>
      </c>
      <c r="L26" s="907"/>
      <c r="AA26" s="56"/>
      <c r="AE26" s="291" t="s">
        <v>345</v>
      </c>
      <c r="AF26" s="826">
        <v>2</v>
      </c>
      <c r="AG26" s="826"/>
      <c r="AH26" s="56"/>
      <c r="AI26" s="56"/>
      <c r="AJ26" s="56"/>
      <c r="AK26" s="56"/>
      <c r="AL26" s="56"/>
      <c r="AM26" s="56"/>
      <c r="AN26" s="56"/>
      <c r="AO26" s="56"/>
      <c r="AP26" s="56"/>
      <c r="AQ26" s="56"/>
      <c r="AR26" s="56"/>
      <c r="AS26" s="56"/>
      <c r="AT26" s="56"/>
      <c r="AU26" s="56"/>
      <c r="AV26" s="56"/>
      <c r="AW26" s="56"/>
      <c r="AX26" s="56"/>
      <c r="AY26" s="56"/>
      <c r="AZ26" s="56"/>
      <c r="BA26" s="56"/>
      <c r="BB26" s="56"/>
      <c r="BC26" s="56"/>
      <c r="BD26" s="817">
        <f t="shared" si="3"/>
        <v>2</v>
      </c>
      <c r="BE26" s="807"/>
    </row>
    <row r="27" spans="2:57" ht="22.2" customHeight="1" x14ac:dyDescent="0.3">
      <c r="B27" s="231"/>
      <c r="C27" s="245"/>
      <c r="D27" s="246"/>
      <c r="E27" s="246"/>
      <c r="F27" s="908"/>
      <c r="G27" s="911"/>
      <c r="H27" s="911"/>
      <c r="I27" s="911"/>
      <c r="J27" s="911"/>
      <c r="K27" s="911"/>
      <c r="L27" s="907"/>
      <c r="AA27" s="56"/>
      <c r="AE27" s="291" t="s">
        <v>346</v>
      </c>
      <c r="AF27" s="826">
        <v>4</v>
      </c>
      <c r="AG27" s="826"/>
      <c r="AH27" s="56"/>
      <c r="AI27" s="56"/>
      <c r="AJ27" s="56"/>
      <c r="AK27" s="56"/>
      <c r="AL27" s="56"/>
      <c r="AM27" s="56"/>
      <c r="AN27" s="56"/>
      <c r="AO27" s="56"/>
      <c r="AP27" s="56"/>
      <c r="AQ27" s="56"/>
      <c r="AR27" s="56"/>
      <c r="AS27" s="56"/>
      <c r="AT27" s="56"/>
      <c r="AU27" s="56"/>
      <c r="AV27" s="56"/>
      <c r="AW27" s="56"/>
      <c r="AX27" s="56"/>
      <c r="AY27" s="56"/>
      <c r="AZ27" s="56"/>
      <c r="BA27" s="56"/>
      <c r="BB27" s="56"/>
      <c r="BC27" s="56"/>
      <c r="BD27" s="817">
        <f t="shared" si="3"/>
        <v>4</v>
      </c>
      <c r="BE27" s="807"/>
    </row>
    <row r="28" spans="2:57" ht="22.2" customHeight="1" x14ac:dyDescent="0.3">
      <c r="B28" s="1089" t="s">
        <v>459</v>
      </c>
      <c r="C28" s="1090"/>
      <c r="D28" s="1090"/>
      <c r="E28" s="1090"/>
      <c r="F28" s="908">
        <f>Kål!F27</f>
        <v>238.2978723404255</v>
      </c>
      <c r="G28" s="911" t="s">
        <v>57</v>
      </c>
      <c r="H28" s="911"/>
      <c r="I28" s="911"/>
      <c r="J28" s="908">
        <f>F93</f>
        <v>238.2978723404255</v>
      </c>
      <c r="K28" s="911" t="s">
        <v>57</v>
      </c>
      <c r="L28" s="907"/>
      <c r="AA28" s="56"/>
      <c r="AE28" s="291" t="s">
        <v>348</v>
      </c>
      <c r="AF28" s="826">
        <v>1</v>
      </c>
      <c r="AG28" s="826"/>
      <c r="AH28" s="826">
        <v>1</v>
      </c>
      <c r="AI28" s="826"/>
      <c r="AJ28" s="826">
        <v>1</v>
      </c>
      <c r="AK28" s="826"/>
      <c r="AL28" s="826">
        <v>1</v>
      </c>
      <c r="AM28" s="826"/>
      <c r="AN28" s="826">
        <v>1</v>
      </c>
      <c r="AO28" s="826"/>
      <c r="AP28" s="826">
        <v>1</v>
      </c>
      <c r="AQ28" s="826"/>
      <c r="AR28" s="826">
        <v>1</v>
      </c>
      <c r="AS28" s="826"/>
      <c r="AT28" s="826">
        <v>1</v>
      </c>
      <c r="AU28" s="826"/>
      <c r="AV28" s="826">
        <v>1</v>
      </c>
      <c r="AW28" s="826"/>
      <c r="AX28" s="826">
        <v>1</v>
      </c>
      <c r="AY28" s="826"/>
      <c r="AZ28" s="826">
        <v>1</v>
      </c>
      <c r="BA28" s="826"/>
      <c r="BB28" s="826">
        <v>1</v>
      </c>
      <c r="BC28" s="826"/>
      <c r="BD28" s="817">
        <f t="shared" si="3"/>
        <v>12</v>
      </c>
      <c r="BE28" s="807"/>
    </row>
    <row r="29" spans="2:57" ht="22.2" customHeight="1" x14ac:dyDescent="0.3">
      <c r="B29" s="1091" t="s">
        <v>387</v>
      </c>
      <c r="C29" s="1092"/>
      <c r="D29" s="1092"/>
      <c r="E29" s="1092"/>
      <c r="F29" s="908">
        <f>Kål!F28</f>
        <v>187.2340425531915</v>
      </c>
      <c r="G29" s="911" t="s">
        <v>57</v>
      </c>
      <c r="H29" s="911"/>
      <c r="I29" s="911"/>
      <c r="J29" s="908">
        <f t="shared" ref="J29:J30" si="4">F94</f>
        <v>187.2340425531915</v>
      </c>
      <c r="K29" s="911" t="s">
        <v>57</v>
      </c>
      <c r="L29" s="907"/>
      <c r="AA29" s="56"/>
      <c r="AE29" s="291" t="s">
        <v>350</v>
      </c>
      <c r="AF29" s="56"/>
      <c r="AG29" s="826"/>
      <c r="AH29" s="826">
        <v>2</v>
      </c>
      <c r="AI29" s="826"/>
      <c r="AJ29" s="826">
        <v>2</v>
      </c>
      <c r="AK29" s="826"/>
      <c r="AL29" s="826">
        <v>2</v>
      </c>
      <c r="AM29" s="826"/>
      <c r="AN29" s="826">
        <v>4</v>
      </c>
      <c r="AO29" s="826"/>
      <c r="AP29" s="826">
        <v>4</v>
      </c>
      <c r="AQ29" s="826"/>
      <c r="AR29" s="826">
        <v>4</v>
      </c>
      <c r="AS29" s="826"/>
      <c r="AT29" s="826">
        <v>4</v>
      </c>
      <c r="AU29" s="826"/>
      <c r="AV29" s="826">
        <v>4</v>
      </c>
      <c r="AW29" s="826"/>
      <c r="AX29" s="826">
        <v>2</v>
      </c>
      <c r="AY29" s="826"/>
      <c r="AZ29" s="826">
        <v>2</v>
      </c>
      <c r="BA29" s="826"/>
      <c r="BB29" s="56"/>
      <c r="BC29" s="56"/>
      <c r="BD29" s="817">
        <f t="shared" si="3"/>
        <v>30</v>
      </c>
      <c r="BE29" s="807"/>
    </row>
    <row r="30" spans="2:57" ht="22.2" customHeight="1" x14ac:dyDescent="0.4">
      <c r="B30" s="1061" t="s">
        <v>189</v>
      </c>
      <c r="C30" s="1043"/>
      <c r="D30" s="1043"/>
      <c r="E30" s="262"/>
      <c r="F30" s="914">
        <f>Kål!F29</f>
        <v>8435.2052482269501</v>
      </c>
      <c r="G30" s="916" t="s">
        <v>57</v>
      </c>
      <c r="H30" s="916"/>
      <c r="I30" s="916"/>
      <c r="J30" s="914">
        <f t="shared" si="4"/>
        <v>8604.5852482269493</v>
      </c>
      <c r="K30" s="916" t="s">
        <v>57</v>
      </c>
      <c r="L30" s="907"/>
      <c r="AA30" s="56"/>
      <c r="AE30" s="291" t="s">
        <v>351</v>
      </c>
      <c r="AF30" s="56"/>
      <c r="AG30" s="826"/>
      <c r="AH30" s="826">
        <v>1</v>
      </c>
      <c r="AI30" s="826"/>
      <c r="AJ30" s="826">
        <v>1</v>
      </c>
      <c r="AK30" s="826"/>
      <c r="AL30" s="826">
        <v>1</v>
      </c>
      <c r="AM30" s="826"/>
      <c r="AN30" s="826">
        <v>1</v>
      </c>
      <c r="AO30" s="826"/>
      <c r="AP30" s="826">
        <v>1</v>
      </c>
      <c r="AQ30" s="826"/>
      <c r="AR30" s="826">
        <v>1</v>
      </c>
      <c r="AS30" s="826"/>
      <c r="AT30" s="826">
        <v>1</v>
      </c>
      <c r="AU30" s="826"/>
      <c r="AV30" s="826">
        <v>1</v>
      </c>
      <c r="AW30" s="826"/>
      <c r="AX30" s="826">
        <v>1</v>
      </c>
      <c r="AY30" s="826"/>
      <c r="AZ30" s="826">
        <v>1</v>
      </c>
      <c r="BA30" s="826"/>
      <c r="BB30" s="56"/>
      <c r="BC30" s="56"/>
      <c r="BD30" s="817">
        <f t="shared" si="3"/>
        <v>10</v>
      </c>
      <c r="BE30" s="807"/>
    </row>
    <row r="31" spans="2:57" ht="22.2" customHeight="1" x14ac:dyDescent="0.4">
      <c r="B31" s="288"/>
      <c r="C31" s="270"/>
      <c r="D31" s="270"/>
      <c r="E31" s="262"/>
      <c r="F31" s="908"/>
      <c r="G31" s="911"/>
      <c r="H31" s="911"/>
      <c r="I31" s="911"/>
      <c r="J31" s="908"/>
      <c r="K31" s="911"/>
      <c r="L31" s="907"/>
      <c r="AA31" s="56"/>
      <c r="AE31" s="291" t="s">
        <v>352</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817">
        <f t="shared" si="3"/>
        <v>0</v>
      </c>
      <c r="BE31" s="807"/>
    </row>
    <row r="32" spans="2:57" ht="22.2" customHeight="1" x14ac:dyDescent="0.4">
      <c r="B32" s="257" t="s">
        <v>460</v>
      </c>
      <c r="C32" s="225"/>
      <c r="D32" s="116"/>
      <c r="E32" s="116"/>
      <c r="F32" s="908"/>
      <c r="G32" s="911"/>
      <c r="H32" s="911"/>
      <c r="I32" s="911"/>
      <c r="J32" s="908"/>
      <c r="K32" s="911"/>
      <c r="L32" s="907"/>
      <c r="AA32" s="794"/>
      <c r="AE32" s="291" t="s">
        <v>352</v>
      </c>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817">
        <f t="shared" si="3"/>
        <v>0</v>
      </c>
      <c r="BE32" s="807"/>
    </row>
    <row r="33" spans="2:57" ht="22.2" customHeight="1" x14ac:dyDescent="0.4">
      <c r="B33" s="1081" t="s">
        <v>69</v>
      </c>
      <c r="C33" s="1082"/>
      <c r="D33" s="270"/>
      <c r="E33" s="262"/>
      <c r="F33" s="908"/>
      <c r="G33" s="911"/>
      <c r="H33" s="911"/>
      <c r="I33" s="911"/>
      <c r="J33" s="908"/>
      <c r="K33" s="911"/>
      <c r="L33" s="907"/>
      <c r="AE33" s="291" t="s">
        <v>352</v>
      </c>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817">
        <f t="shared" si="3"/>
        <v>0</v>
      </c>
      <c r="BE33" s="807"/>
    </row>
    <row r="34" spans="2:57" ht="22.2" customHeight="1" thickBot="1" x14ac:dyDescent="0.45">
      <c r="B34" s="287"/>
      <c r="C34" s="274" t="s">
        <v>229</v>
      </c>
      <c r="D34" s="270"/>
      <c r="E34" s="262"/>
      <c r="F34" s="908">
        <f>Kål!F33</f>
        <v>317.88384128809662</v>
      </c>
      <c r="G34" s="911" t="s">
        <v>57</v>
      </c>
      <c r="H34" s="911"/>
      <c r="I34" s="911"/>
      <c r="J34" s="908">
        <f>F99</f>
        <v>317.88384128809662</v>
      </c>
      <c r="K34" s="911" t="s">
        <v>57</v>
      </c>
      <c r="L34" s="907"/>
      <c r="AE34" s="806" t="s">
        <v>354</v>
      </c>
      <c r="AF34" s="819">
        <f>SUM(AF6:AF33)</f>
        <v>13</v>
      </c>
      <c r="AG34" s="819">
        <f t="shared" ref="AG34:BC34" si="5">SUM(AG6:AG33)</f>
        <v>9</v>
      </c>
      <c r="AH34" s="819">
        <f t="shared" si="5"/>
        <v>11</v>
      </c>
      <c r="AI34" s="819">
        <f t="shared" si="5"/>
        <v>3</v>
      </c>
      <c r="AJ34" s="819">
        <f t="shared" si="5"/>
        <v>5</v>
      </c>
      <c r="AK34" s="819">
        <f t="shared" si="5"/>
        <v>3</v>
      </c>
      <c r="AL34" s="819">
        <f t="shared" si="5"/>
        <v>5</v>
      </c>
      <c r="AM34" s="819">
        <f t="shared" si="5"/>
        <v>0</v>
      </c>
      <c r="AN34" s="819">
        <f t="shared" si="5"/>
        <v>20</v>
      </c>
      <c r="AO34" s="819">
        <f t="shared" si="5"/>
        <v>20</v>
      </c>
      <c r="AP34" s="819">
        <f t="shared" si="5"/>
        <v>18</v>
      </c>
      <c r="AQ34" s="819">
        <f t="shared" si="5"/>
        <v>6</v>
      </c>
      <c r="AR34" s="819">
        <f t="shared" si="5"/>
        <v>37</v>
      </c>
      <c r="AS34" s="819">
        <f t="shared" si="5"/>
        <v>28</v>
      </c>
      <c r="AT34" s="819">
        <f t="shared" si="5"/>
        <v>16</v>
      </c>
      <c r="AU34" s="819">
        <f t="shared" si="5"/>
        <v>5</v>
      </c>
      <c r="AV34" s="819">
        <f t="shared" si="5"/>
        <v>7</v>
      </c>
      <c r="AW34" s="819">
        <f t="shared" si="5"/>
        <v>23</v>
      </c>
      <c r="AX34" s="819">
        <f t="shared" si="5"/>
        <v>26</v>
      </c>
      <c r="AY34" s="819">
        <f t="shared" si="5"/>
        <v>8</v>
      </c>
      <c r="AZ34" s="819">
        <f t="shared" si="5"/>
        <v>13</v>
      </c>
      <c r="BA34" s="819">
        <f t="shared" si="5"/>
        <v>6</v>
      </c>
      <c r="BB34" s="819">
        <f t="shared" si="5"/>
        <v>8</v>
      </c>
      <c r="BC34" s="819">
        <f t="shared" si="5"/>
        <v>6</v>
      </c>
      <c r="BD34" s="819">
        <f>SUM(BD6:BD33)</f>
        <v>296</v>
      </c>
      <c r="BE34" s="820"/>
    </row>
    <row r="35" spans="2:57" ht="22.2" customHeight="1" x14ac:dyDescent="0.4">
      <c r="B35" s="287"/>
      <c r="C35" s="274" t="s">
        <v>230</v>
      </c>
      <c r="D35" s="270"/>
      <c r="E35" s="262"/>
      <c r="F35" s="908">
        <f>Kål!F34</f>
        <v>198.67740080506036</v>
      </c>
      <c r="G35" s="911" t="s">
        <v>57</v>
      </c>
      <c r="H35" s="911"/>
      <c r="I35" s="911"/>
      <c r="J35" s="908">
        <f t="shared" ref="J35:J68" si="6">F100</f>
        <v>198.67740080506036</v>
      </c>
      <c r="K35" s="911" t="s">
        <v>57</v>
      </c>
      <c r="L35" s="907"/>
    </row>
    <row r="36" spans="2:57" ht="22.2" customHeight="1" x14ac:dyDescent="0.3">
      <c r="B36" s="287"/>
      <c r="C36" s="1083" t="s">
        <v>232</v>
      </c>
      <c r="D36" s="1083"/>
      <c r="E36" s="262"/>
      <c r="F36" s="908">
        <f>Kål!F35</f>
        <v>79.470960322024155</v>
      </c>
      <c r="G36" s="911" t="s">
        <v>57</v>
      </c>
      <c r="H36" s="911"/>
      <c r="I36" s="911"/>
      <c r="J36" s="908">
        <f t="shared" si="6"/>
        <v>79.470960322024155</v>
      </c>
      <c r="K36" s="911" t="s">
        <v>57</v>
      </c>
      <c r="L36" s="907"/>
    </row>
    <row r="37" spans="2:57" ht="22.2" customHeight="1" x14ac:dyDescent="0.4">
      <c r="B37" s="287"/>
      <c r="C37" s="274" t="s">
        <v>234</v>
      </c>
      <c r="D37" s="270"/>
      <c r="E37" s="262"/>
      <c r="F37" s="908">
        <f>Kål!F36</f>
        <v>15.89419206440483</v>
      </c>
      <c r="G37" s="911" t="s">
        <v>57</v>
      </c>
      <c r="H37" s="911"/>
      <c r="I37" s="911"/>
      <c r="J37" s="908">
        <f t="shared" si="6"/>
        <v>15.89419206440483</v>
      </c>
      <c r="K37" s="911" t="s">
        <v>57</v>
      </c>
      <c r="L37" s="907"/>
    </row>
    <row r="38" spans="2:57" ht="22.2" customHeight="1" x14ac:dyDescent="0.35">
      <c r="B38" s="289"/>
      <c r="C38" s="278" t="s">
        <v>54</v>
      </c>
      <c r="D38" s="279"/>
      <c r="E38" s="262"/>
      <c r="F38" s="908">
        <f>Kål!F37</f>
        <v>611.92639447958607</v>
      </c>
      <c r="G38" s="911" t="s">
        <v>57</v>
      </c>
      <c r="H38" s="911"/>
      <c r="I38" s="911"/>
      <c r="J38" s="908">
        <f t="shared" si="6"/>
        <v>611.92639447958607</v>
      </c>
      <c r="K38" s="911" t="s">
        <v>57</v>
      </c>
      <c r="L38" s="907"/>
    </row>
    <row r="39" spans="2:57" ht="22.2" customHeight="1" x14ac:dyDescent="0.4">
      <c r="B39" s="287"/>
      <c r="C39" s="274"/>
      <c r="D39" s="270"/>
      <c r="E39" s="262"/>
      <c r="F39" s="908"/>
      <c r="G39" s="911"/>
      <c r="H39" s="911"/>
      <c r="I39" s="911"/>
      <c r="J39" s="908"/>
      <c r="K39" s="911"/>
      <c r="L39" s="907"/>
    </row>
    <row r="40" spans="2:57" ht="22.2" customHeight="1" x14ac:dyDescent="0.3">
      <c r="B40" s="1081" t="s">
        <v>461</v>
      </c>
      <c r="C40" s="1082"/>
      <c r="D40" s="1082"/>
      <c r="E40" s="262"/>
      <c r="F40" s="908"/>
      <c r="G40" s="911"/>
      <c r="H40" s="911"/>
      <c r="I40" s="911"/>
      <c r="J40" s="908"/>
      <c r="K40" s="911"/>
      <c r="L40" s="907"/>
    </row>
    <row r="41" spans="2:57" ht="22.2" customHeight="1" x14ac:dyDescent="0.4">
      <c r="B41" s="287"/>
      <c r="C41" s="274" t="s">
        <v>229</v>
      </c>
      <c r="D41" s="270"/>
      <c r="E41" s="262"/>
      <c r="F41" s="908">
        <f>Kål!F40</f>
        <v>377.58865248226954</v>
      </c>
      <c r="G41" s="911" t="s">
        <v>57</v>
      </c>
      <c r="H41" s="911"/>
      <c r="I41" s="911"/>
      <c r="J41" s="908">
        <f t="shared" si="6"/>
        <v>377.58865248226954</v>
      </c>
      <c r="K41" s="911" t="s">
        <v>57</v>
      </c>
      <c r="L41" s="907"/>
    </row>
    <row r="42" spans="2:57" ht="22.2" customHeight="1" x14ac:dyDescent="0.4">
      <c r="B42" s="287"/>
      <c r="C42" s="274" t="s">
        <v>230</v>
      </c>
      <c r="D42" s="270"/>
      <c r="E42" s="262"/>
      <c r="F42" s="908">
        <f>Kål!F41</f>
        <v>141.59574468085106</v>
      </c>
      <c r="G42" s="911" t="s">
        <v>57</v>
      </c>
      <c r="H42" s="911"/>
      <c r="I42" s="911"/>
      <c r="J42" s="908">
        <f t="shared" si="6"/>
        <v>141.59574468085106</v>
      </c>
      <c r="K42" s="911" t="s">
        <v>57</v>
      </c>
      <c r="L42" s="907"/>
    </row>
    <row r="43" spans="2:57" ht="22.2" customHeight="1" x14ac:dyDescent="0.3">
      <c r="B43" s="287"/>
      <c r="C43" s="1083" t="s">
        <v>232</v>
      </c>
      <c r="D43" s="1083"/>
      <c r="E43" s="262"/>
      <c r="F43" s="908">
        <f>Kål!F42</f>
        <v>169.91489361702131</v>
      </c>
      <c r="G43" s="911" t="s">
        <v>57</v>
      </c>
      <c r="H43" s="911"/>
      <c r="I43" s="911"/>
      <c r="J43" s="908">
        <f t="shared" si="6"/>
        <v>169.91489361702131</v>
      </c>
      <c r="K43" s="911" t="s">
        <v>57</v>
      </c>
      <c r="L43" s="907"/>
    </row>
    <row r="44" spans="2:57" ht="22.2" customHeight="1" x14ac:dyDescent="0.4">
      <c r="B44" s="287"/>
      <c r="C44" s="274" t="s">
        <v>234</v>
      </c>
      <c r="D44" s="270"/>
      <c r="E44" s="262"/>
      <c r="F44" s="908">
        <f>Kål!F43</f>
        <v>11.327659574468083</v>
      </c>
      <c r="G44" s="911" t="s">
        <v>57</v>
      </c>
      <c r="H44" s="911"/>
      <c r="I44" s="911"/>
      <c r="J44" s="908">
        <f t="shared" si="6"/>
        <v>11.327659574468083</v>
      </c>
      <c r="K44" s="911" t="s">
        <v>57</v>
      </c>
      <c r="L44" s="907"/>
    </row>
    <row r="45" spans="2:57" ht="22.2" customHeight="1" x14ac:dyDescent="0.35">
      <c r="B45" s="289"/>
      <c r="C45" s="278" t="s">
        <v>54</v>
      </c>
      <c r="D45" s="279"/>
      <c r="E45" s="262"/>
      <c r="F45" s="908">
        <f>Kål!F44</f>
        <v>700.42695035460997</v>
      </c>
      <c r="G45" s="911" t="s">
        <v>57</v>
      </c>
      <c r="H45" s="911"/>
      <c r="I45" s="911"/>
      <c r="J45" s="908">
        <f t="shared" si="6"/>
        <v>700.42695035460997</v>
      </c>
      <c r="K45" s="911" t="s">
        <v>57</v>
      </c>
      <c r="L45" s="907"/>
    </row>
    <row r="46" spans="2:57" ht="22.2" customHeight="1" x14ac:dyDescent="0.4">
      <c r="B46" s="287"/>
      <c r="C46" s="274"/>
      <c r="D46" s="270"/>
      <c r="E46" s="262"/>
      <c r="F46" s="908"/>
      <c r="G46" s="911"/>
      <c r="H46" s="911"/>
      <c r="I46" s="911"/>
      <c r="J46" s="908"/>
      <c r="K46" s="911"/>
      <c r="L46" s="907"/>
    </row>
    <row r="47" spans="2:57" ht="22.2" customHeight="1" x14ac:dyDescent="0.3">
      <c r="B47" s="1081" t="s">
        <v>355</v>
      </c>
      <c r="C47" s="1082"/>
      <c r="D47" s="1082"/>
      <c r="E47" s="262"/>
      <c r="F47" s="908"/>
      <c r="G47" s="911"/>
      <c r="H47" s="911"/>
      <c r="I47" s="911"/>
      <c r="J47" s="908"/>
      <c r="K47" s="911"/>
      <c r="L47" s="907"/>
    </row>
    <row r="48" spans="2:57" ht="22.2" customHeight="1" x14ac:dyDescent="0.4">
      <c r="B48" s="287"/>
      <c r="C48" s="274" t="s">
        <v>229</v>
      </c>
      <c r="D48" s="270"/>
      <c r="E48" s="262"/>
      <c r="F48" s="908">
        <f>Kål!F47</f>
        <v>61.729729729729755</v>
      </c>
      <c r="G48" s="911" t="s">
        <v>57</v>
      </c>
      <c r="H48" s="911"/>
      <c r="I48" s="911"/>
      <c r="J48" s="908">
        <f t="shared" si="6"/>
        <v>515.06306306306305</v>
      </c>
      <c r="K48" s="911" t="s">
        <v>57</v>
      </c>
      <c r="L48" s="907"/>
    </row>
    <row r="49" spans="2:12" ht="22.2" customHeight="1" x14ac:dyDescent="0.4">
      <c r="B49" s="287"/>
      <c r="C49" s="274" t="s">
        <v>230</v>
      </c>
      <c r="D49" s="270"/>
      <c r="E49" s="262"/>
      <c r="F49" s="908">
        <f>Kål!F48</f>
        <v>11.162162162162161</v>
      </c>
      <c r="G49" s="911" t="s">
        <v>57</v>
      </c>
      <c r="H49" s="911"/>
      <c r="I49" s="911"/>
      <c r="J49" s="908">
        <f t="shared" si="6"/>
        <v>45.162162162162161</v>
      </c>
      <c r="K49" s="911" t="s">
        <v>57</v>
      </c>
      <c r="L49" s="907"/>
    </row>
    <row r="50" spans="2:12" ht="22.2" customHeight="1" x14ac:dyDescent="0.3">
      <c r="B50" s="287"/>
      <c r="C50" s="1083" t="s">
        <v>232</v>
      </c>
      <c r="D50" s="1083"/>
      <c r="E50" s="262"/>
      <c r="F50" s="908">
        <f>Kål!F49</f>
        <v>22.324324324324323</v>
      </c>
      <c r="G50" s="911" t="s">
        <v>57</v>
      </c>
      <c r="H50" s="911"/>
      <c r="I50" s="911"/>
      <c r="J50" s="908">
        <f t="shared" si="6"/>
        <v>90.324324324324323</v>
      </c>
      <c r="K50" s="911" t="s">
        <v>57</v>
      </c>
      <c r="L50" s="907"/>
    </row>
    <row r="51" spans="2:12" ht="22.2" customHeight="1" x14ac:dyDescent="0.4">
      <c r="B51" s="287"/>
      <c r="C51" s="274" t="s">
        <v>234</v>
      </c>
      <c r="D51" s="270"/>
      <c r="E51" s="262"/>
      <c r="F51" s="908">
        <f>Kål!F50</f>
        <v>0.89297297297297329</v>
      </c>
      <c r="G51" s="911" t="s">
        <v>57</v>
      </c>
      <c r="H51" s="911"/>
      <c r="I51" s="911"/>
      <c r="J51" s="908">
        <f t="shared" si="6"/>
        <v>3.6129729729729734</v>
      </c>
      <c r="K51" s="911" t="s">
        <v>57</v>
      </c>
      <c r="L51" s="907"/>
    </row>
    <row r="52" spans="2:12" ht="22.2" customHeight="1" x14ac:dyDescent="0.35">
      <c r="B52" s="289"/>
      <c r="C52" s="278" t="s">
        <v>54</v>
      </c>
      <c r="D52" s="279"/>
      <c r="E52" s="262"/>
      <c r="F52" s="908">
        <f>Kål!F51</f>
        <v>96.109189189189209</v>
      </c>
      <c r="G52" s="911" t="s">
        <v>57</v>
      </c>
      <c r="H52" s="911"/>
      <c r="I52" s="911"/>
      <c r="J52" s="908">
        <f t="shared" si="6"/>
        <v>654.16252252252252</v>
      </c>
      <c r="K52" s="911" t="s">
        <v>57</v>
      </c>
      <c r="L52" s="907"/>
    </row>
    <row r="53" spans="2:12" ht="22.2" customHeight="1" x14ac:dyDescent="0.4">
      <c r="B53" s="287"/>
      <c r="C53" s="274"/>
      <c r="D53" s="270"/>
      <c r="E53" s="262"/>
      <c r="F53" s="908"/>
      <c r="G53" s="911"/>
      <c r="H53" s="911"/>
      <c r="I53" s="911"/>
      <c r="J53" s="908"/>
      <c r="K53" s="911"/>
      <c r="L53" s="907"/>
    </row>
    <row r="54" spans="2:12" ht="22.2" customHeight="1" x14ac:dyDescent="0.4">
      <c r="B54" s="1084" t="s">
        <v>139</v>
      </c>
      <c r="C54" s="1085"/>
      <c r="D54" s="270"/>
      <c r="E54" s="262"/>
      <c r="F54" s="908"/>
      <c r="G54" s="911"/>
      <c r="H54" s="911"/>
      <c r="I54" s="911"/>
      <c r="J54" s="908"/>
      <c r="K54" s="911"/>
      <c r="L54" s="907"/>
    </row>
    <row r="55" spans="2:12" ht="22.2" customHeight="1" x14ac:dyDescent="0.4">
      <c r="B55" s="287"/>
      <c r="C55" s="274" t="s">
        <v>229</v>
      </c>
      <c r="D55" s="270"/>
      <c r="E55" s="262"/>
      <c r="F55" s="908">
        <f>Kål!F54</f>
        <v>0</v>
      </c>
      <c r="G55" s="911" t="s">
        <v>57</v>
      </c>
      <c r="H55" s="911"/>
      <c r="I55" s="911"/>
      <c r="J55" s="908">
        <f t="shared" si="6"/>
        <v>0</v>
      </c>
      <c r="K55" s="911" t="s">
        <v>57</v>
      </c>
      <c r="L55" s="907"/>
    </row>
    <row r="56" spans="2:12" ht="22.2" customHeight="1" x14ac:dyDescent="0.4">
      <c r="B56" s="287"/>
      <c r="C56" s="274" t="s">
        <v>230</v>
      </c>
      <c r="D56" s="270"/>
      <c r="E56" s="262"/>
      <c r="F56" s="908">
        <f>Kål!F55</f>
        <v>0</v>
      </c>
      <c r="G56" s="911" t="s">
        <v>57</v>
      </c>
      <c r="H56" s="911"/>
      <c r="I56" s="911"/>
      <c r="J56" s="908">
        <f t="shared" si="6"/>
        <v>0</v>
      </c>
      <c r="K56" s="911" t="s">
        <v>57</v>
      </c>
      <c r="L56" s="907"/>
    </row>
    <row r="57" spans="2:12" ht="22.2" customHeight="1" x14ac:dyDescent="0.3">
      <c r="B57" s="287"/>
      <c r="C57" s="1083" t="s">
        <v>232</v>
      </c>
      <c r="D57" s="1083"/>
      <c r="E57" s="262"/>
      <c r="F57" s="908">
        <f>Kål!F56</f>
        <v>12.76595744680851</v>
      </c>
      <c r="G57" s="911" t="s">
        <v>57</v>
      </c>
      <c r="H57" s="911"/>
      <c r="I57" s="911"/>
      <c r="J57" s="908">
        <f t="shared" si="6"/>
        <v>12.76595744680851</v>
      </c>
      <c r="K57" s="911" t="s">
        <v>57</v>
      </c>
      <c r="L57" s="907"/>
    </row>
    <row r="58" spans="2:12" ht="22.2" customHeight="1" x14ac:dyDescent="0.3">
      <c r="B58" s="286"/>
      <c r="C58" s="261" t="s">
        <v>54</v>
      </c>
      <c r="D58" s="261"/>
      <c r="E58" s="261"/>
      <c r="F58" s="908">
        <f>Kål!F57</f>
        <v>12.76595744680851</v>
      </c>
      <c r="G58" s="911" t="s">
        <v>57</v>
      </c>
      <c r="H58" s="911"/>
      <c r="I58" s="911"/>
      <c r="J58" s="908">
        <f t="shared" si="6"/>
        <v>12.76595744680851</v>
      </c>
      <c r="K58" s="911" t="s">
        <v>57</v>
      </c>
      <c r="L58" s="907"/>
    </row>
    <row r="59" spans="2:12" ht="22.2" customHeight="1" x14ac:dyDescent="0.4">
      <c r="B59" s="1061" t="s">
        <v>191</v>
      </c>
      <c r="C59" s="1043"/>
      <c r="D59" s="1043"/>
      <c r="E59" s="262"/>
      <c r="F59" s="914">
        <f>Kål!F58</f>
        <v>1421.2284914701936</v>
      </c>
      <c r="G59" s="916" t="s">
        <v>57</v>
      </c>
      <c r="H59" s="916"/>
      <c r="I59" s="916"/>
      <c r="J59" s="914">
        <f t="shared" si="6"/>
        <v>1979.2818248035269</v>
      </c>
      <c r="K59" s="916" t="s">
        <v>57</v>
      </c>
      <c r="L59" s="907"/>
    </row>
    <row r="60" spans="2:12" ht="22.2" customHeight="1" x14ac:dyDescent="0.3">
      <c r="B60" s="286"/>
      <c r="C60" s="262"/>
      <c r="D60" s="262"/>
      <c r="E60" s="262"/>
      <c r="F60" s="908"/>
      <c r="G60" s="911"/>
      <c r="H60" s="911"/>
      <c r="I60" s="911"/>
      <c r="J60" s="908"/>
      <c r="K60" s="911"/>
      <c r="L60" s="907"/>
    </row>
    <row r="61" spans="2:12" ht="22.2" customHeight="1" x14ac:dyDescent="0.4">
      <c r="B61" s="257" t="s">
        <v>192</v>
      </c>
      <c r="C61" s="262"/>
      <c r="D61" s="262"/>
      <c r="E61" s="262"/>
      <c r="F61" s="908"/>
      <c r="G61" s="911"/>
      <c r="H61" s="911"/>
      <c r="I61" s="911"/>
      <c r="J61" s="908"/>
      <c r="K61" s="911"/>
      <c r="L61" s="907"/>
    </row>
    <row r="62" spans="2:12" ht="22.2" customHeight="1" x14ac:dyDescent="0.3">
      <c r="B62" s="235"/>
      <c r="C62" s="228" t="s">
        <v>192</v>
      </c>
      <c r="D62" s="236"/>
      <c r="E62" s="236"/>
      <c r="F62" s="908">
        <f>Kål!F61</f>
        <v>2842</v>
      </c>
      <c r="G62" s="911" t="s">
        <v>57</v>
      </c>
      <c r="H62" s="911"/>
      <c r="I62" s="911"/>
      <c r="J62" s="908">
        <f t="shared" si="6"/>
        <v>2972.5</v>
      </c>
      <c r="K62" s="911" t="s">
        <v>57</v>
      </c>
      <c r="L62" s="907"/>
    </row>
    <row r="63" spans="2:12" ht="22.2" customHeight="1" x14ac:dyDescent="0.3">
      <c r="B63" s="248"/>
      <c r="C63" s="245"/>
      <c r="D63" s="249"/>
      <c r="E63" s="249"/>
      <c r="F63" s="908"/>
      <c r="G63" s="911"/>
      <c r="H63" s="911"/>
      <c r="I63" s="911"/>
      <c r="J63" s="908"/>
      <c r="K63" s="911"/>
      <c r="L63" s="907"/>
    </row>
    <row r="64" spans="2:12" ht="22.2" customHeight="1" x14ac:dyDescent="0.4">
      <c r="B64" s="1061" t="s">
        <v>194</v>
      </c>
      <c r="C64" s="1043"/>
      <c r="D64" s="1043"/>
      <c r="E64" s="262"/>
      <c r="F64" s="914">
        <f>Kål!F63</f>
        <v>2842</v>
      </c>
      <c r="G64" s="916" t="s">
        <v>57</v>
      </c>
      <c r="H64" s="916"/>
      <c r="I64" s="916"/>
      <c r="J64" s="914">
        <f t="shared" si="6"/>
        <v>2972.5</v>
      </c>
      <c r="K64" s="916" t="s">
        <v>57</v>
      </c>
      <c r="L64" s="907"/>
    </row>
    <row r="65" spans="1:21" ht="22.2" customHeight="1" x14ac:dyDescent="0.4">
      <c r="B65" s="288"/>
      <c r="C65" s="270"/>
      <c r="D65" s="270"/>
      <c r="E65" s="262"/>
      <c r="F65" s="914"/>
      <c r="G65" s="916"/>
      <c r="H65" s="916"/>
      <c r="I65" s="916"/>
      <c r="J65" s="914"/>
      <c r="K65" s="916"/>
      <c r="L65" s="907"/>
    </row>
    <row r="66" spans="1:21" ht="22.2" customHeight="1" x14ac:dyDescent="0.4">
      <c r="B66" s="1061" t="s">
        <v>462</v>
      </c>
      <c r="C66" s="1043"/>
      <c r="D66" s="1043"/>
      <c r="E66" s="262"/>
      <c r="F66" s="914">
        <f>Kål!F65</f>
        <v>12698.433739697144</v>
      </c>
      <c r="G66" s="916" t="s">
        <v>57</v>
      </c>
      <c r="H66" s="916"/>
      <c r="I66" s="916"/>
      <c r="J66" s="914">
        <f t="shared" si="6"/>
        <v>13556.367073030477</v>
      </c>
      <c r="K66" s="916" t="s">
        <v>57</v>
      </c>
      <c r="L66" s="907"/>
    </row>
    <row r="67" spans="1:21" ht="22.2" customHeight="1" x14ac:dyDescent="0.4">
      <c r="B67" s="288"/>
      <c r="C67" s="270"/>
      <c r="D67" s="270"/>
      <c r="E67" s="262"/>
      <c r="F67" s="914"/>
      <c r="G67" s="916"/>
      <c r="H67" s="916"/>
      <c r="I67" s="916"/>
      <c r="J67" s="914"/>
      <c r="K67" s="916"/>
      <c r="L67" s="907"/>
    </row>
    <row r="68" spans="1:21" ht="22.2" customHeight="1" thickBot="1" x14ac:dyDescent="0.45">
      <c r="B68" s="1059" t="s">
        <v>198</v>
      </c>
      <c r="C68" s="1060"/>
      <c r="D68" s="1060"/>
      <c r="E68" s="253"/>
      <c r="F68" s="917">
        <f>Kål!F67</f>
        <v>25328.666260302856</v>
      </c>
      <c r="G68" s="918" t="s">
        <v>57</v>
      </c>
      <c r="H68" s="918"/>
      <c r="I68" s="918"/>
      <c r="J68" s="917">
        <f t="shared" si="6"/>
        <v>24470.732926969526</v>
      </c>
      <c r="K68" s="918" t="s">
        <v>57</v>
      </c>
      <c r="L68" s="912"/>
    </row>
    <row r="69" spans="1:21" ht="31.2" customHeight="1" x14ac:dyDescent="0.3">
      <c r="B69" s="784"/>
      <c r="C69" s="784"/>
      <c r="D69" s="784"/>
      <c r="E69" s="784"/>
      <c r="F69" s="784"/>
      <c r="G69" s="784"/>
      <c r="H69" s="784"/>
      <c r="I69" s="784"/>
      <c r="J69" s="784"/>
      <c r="K69" s="784"/>
      <c r="L69" s="784"/>
    </row>
    <row r="70" spans="1:21" ht="31.2" customHeight="1" x14ac:dyDescent="0.3">
      <c r="B70" s="784"/>
      <c r="C70" s="784"/>
      <c r="D70" s="784"/>
      <c r="E70" s="784"/>
      <c r="F70" s="784"/>
      <c r="G70" s="784"/>
      <c r="H70" s="784"/>
      <c r="I70" s="784"/>
      <c r="J70" s="784"/>
      <c r="K70" s="784"/>
      <c r="L70" s="784"/>
    </row>
    <row r="71" spans="1:21" ht="27" customHeight="1" thickBot="1" x14ac:dyDescent="0.35">
      <c r="B71" s="189"/>
      <c r="C71" s="189"/>
    </row>
    <row r="72" spans="1:21" ht="27" customHeight="1" x14ac:dyDescent="0.4">
      <c r="B72" s="256" t="s">
        <v>463</v>
      </c>
      <c r="C72" s="221"/>
      <c r="D72" s="222"/>
      <c r="E72" s="222"/>
      <c r="F72" s="222"/>
      <c r="G72" s="222"/>
      <c r="H72" s="222"/>
      <c r="I72" s="222"/>
      <c r="J72" s="222"/>
      <c r="K72" s="222"/>
      <c r="L72" s="222"/>
      <c r="M72" s="223"/>
      <c r="N72" s="368"/>
      <c r="O72" s="222"/>
      <c r="P72" s="222"/>
      <c r="Q72" s="222"/>
      <c r="R72" s="222"/>
      <c r="S72" s="222"/>
      <c r="T72" s="222"/>
      <c r="U72" s="223"/>
    </row>
    <row r="73" spans="1:21" ht="27" customHeight="1" x14ac:dyDescent="0.4">
      <c r="B73" s="224"/>
      <c r="C73" s="225"/>
      <c r="D73" s="116"/>
      <c r="E73" s="116"/>
      <c r="F73" s="116"/>
      <c r="G73" s="116"/>
      <c r="H73" s="116"/>
      <c r="I73" s="116"/>
      <c r="J73" s="116"/>
      <c r="K73" s="116"/>
      <c r="L73" s="116"/>
      <c r="M73" s="226"/>
      <c r="N73" s="369"/>
      <c r="O73" s="116"/>
      <c r="P73" s="116"/>
      <c r="Q73" s="116"/>
      <c r="R73" s="116"/>
      <c r="S73" s="116"/>
      <c r="T73" s="116"/>
      <c r="U73" s="226"/>
    </row>
    <row r="74" spans="1:21" ht="21" x14ac:dyDescent="0.4">
      <c r="B74" s="257" t="s">
        <v>204</v>
      </c>
      <c r="C74" s="225"/>
      <c r="D74" s="116"/>
      <c r="E74" s="119"/>
      <c r="F74" s="119"/>
      <c r="G74" s="119"/>
      <c r="H74" s="119"/>
      <c r="I74" s="116"/>
      <c r="J74" s="116"/>
      <c r="K74" s="116"/>
      <c r="L74" s="116"/>
      <c r="M74" s="226"/>
      <c r="N74" s="257" t="s">
        <v>205</v>
      </c>
      <c r="O74" s="116"/>
      <c r="P74" s="116"/>
      <c r="Q74" s="116"/>
      <c r="R74" s="116"/>
      <c r="S74" s="116"/>
      <c r="T74" s="116"/>
      <c r="U74" s="239"/>
    </row>
    <row r="75" spans="1:21" ht="21" x14ac:dyDescent="0.4">
      <c r="B75" s="257"/>
      <c r="C75" s="225"/>
      <c r="D75" s="116"/>
      <c r="E75" s="119"/>
      <c r="F75" s="119"/>
      <c r="G75" s="119"/>
      <c r="H75" s="119"/>
      <c r="I75" s="116"/>
      <c r="J75" s="116"/>
      <c r="K75" s="116"/>
      <c r="L75" s="116"/>
      <c r="M75" s="226"/>
      <c r="N75" s="257"/>
      <c r="O75" s="116"/>
      <c r="P75" s="116"/>
      <c r="Q75" s="116"/>
      <c r="R75" s="116"/>
      <c r="S75" s="116"/>
      <c r="T75" s="116"/>
      <c r="U75" s="239"/>
    </row>
    <row r="76" spans="1:21" ht="21" customHeight="1" thickBot="1" x14ac:dyDescent="0.35">
      <c r="B76" s="227"/>
      <c r="C76" s="228" t="s">
        <v>205</v>
      </c>
      <c r="D76" s="119"/>
      <c r="E76" s="119"/>
      <c r="F76" s="229">
        <f>IF('Gårdens info'!D13&gt;0,H76*'Gårdens info'!G13,0)</f>
        <v>37000</v>
      </c>
      <c r="G76" s="119" t="s">
        <v>57</v>
      </c>
      <c r="H76" s="508">
        <f>IF('Gårdens info'!G13&gt;0,(('Gårdens info'!D13*'Gårdens info'!G13*S77*T77)+('Gårdens info'!D13*'Gårdens info'!G13*S78*T78)+('Gårdens info'!D13*'Gårdens info'!G13*S79*T79)+('Gårdens info'!D13*'Gårdens info'!G13*S80*T80)+('Gårdens info'!D13*'Gårdens info'!G13*S81*T81)+('Gårdens info'!D13*'Gårdens info'!G13*S82*T82)+('Gårdens info'!D13*'Gårdens info'!G13*S83*T83)+('Gårdens info'!D13*'Gårdens info'!G13*S84*T84))/(('Gårdens info'!D13*'Gårdens info'!G13)),0)</f>
        <v>0.74</v>
      </c>
      <c r="I76" s="119" t="s">
        <v>206</v>
      </c>
      <c r="J76" s="229">
        <f>F76*'Gårdens info'!D13</f>
        <v>370000</v>
      </c>
      <c r="K76" s="119" t="s">
        <v>380</v>
      </c>
      <c r="L76" s="119"/>
      <c r="M76" s="226"/>
      <c r="N76" s="369"/>
      <c r="O76" s="1095" t="s">
        <v>208</v>
      </c>
      <c r="P76" s="1095"/>
      <c r="Q76" s="1095"/>
      <c r="R76" s="230"/>
      <c r="S76" s="926" t="s">
        <v>209</v>
      </c>
      <c r="T76" s="1086" t="s">
        <v>210</v>
      </c>
      <c r="U76" s="1087"/>
    </row>
    <row r="77" spans="1:21" ht="15.6" thickBot="1" x14ac:dyDescent="0.3">
      <c r="B77" s="227"/>
      <c r="C77" s="119" t="s">
        <v>211</v>
      </c>
      <c r="D77" s="119"/>
      <c r="E77" s="119"/>
      <c r="F77" s="229">
        <f>IF('Gårdens info'!D13&gt;0,Stöd!L15,0)</f>
        <v>1027.0999999999999</v>
      </c>
      <c r="G77" s="119" t="s">
        <v>57</v>
      </c>
      <c r="H77" s="508">
        <f>IF('Gårdens info'!G13&gt;0,F77/'Gårdens info'!G13,0)</f>
        <v>2.0541999999999998E-2</v>
      </c>
      <c r="I77" s="119" t="s">
        <v>206</v>
      </c>
      <c r="J77" s="229">
        <f>F77*'Gårdens info'!D13</f>
        <v>10271</v>
      </c>
      <c r="K77" s="119" t="s">
        <v>380</v>
      </c>
      <c r="L77" s="119"/>
      <c r="M77" s="226"/>
      <c r="N77" s="369"/>
      <c r="O77" s="119">
        <v>1</v>
      </c>
      <c r="P77" s="119" t="s">
        <v>212</v>
      </c>
      <c r="Q77" s="119" t="s">
        <v>213</v>
      </c>
      <c r="R77" s="119"/>
      <c r="S77" s="377">
        <v>0</v>
      </c>
      <c r="T77" s="255"/>
      <c r="U77" s="239" t="s">
        <v>206</v>
      </c>
    </row>
    <row r="78" spans="1:21" s="5" customFormat="1" ht="21" customHeight="1" thickBot="1" x14ac:dyDescent="0.45">
      <c r="A78" s="884"/>
      <c r="B78" s="1061" t="s">
        <v>214</v>
      </c>
      <c r="C78" s="1043"/>
      <c r="D78" s="1043"/>
      <c r="E78" s="262"/>
      <c r="F78" s="266">
        <f>F76+F77</f>
        <v>38027.1</v>
      </c>
      <c r="G78" s="267" t="s">
        <v>57</v>
      </c>
      <c r="H78" s="507">
        <f>H76+H77</f>
        <v>0.76054199999999994</v>
      </c>
      <c r="I78" s="267" t="s">
        <v>206</v>
      </c>
      <c r="J78" s="269">
        <f>J76+J77</f>
        <v>380271</v>
      </c>
      <c r="K78" s="267" t="s">
        <v>380</v>
      </c>
      <c r="L78" s="267"/>
      <c r="M78" s="259"/>
      <c r="N78" s="370"/>
      <c r="O78" s="119">
        <v>0.25</v>
      </c>
      <c r="P78" s="119" t="s">
        <v>212</v>
      </c>
      <c r="Q78" s="119" t="s">
        <v>333</v>
      </c>
      <c r="R78" s="119"/>
      <c r="S78" s="379">
        <v>0</v>
      </c>
      <c r="T78" s="255"/>
      <c r="U78" s="239" t="s">
        <v>206</v>
      </c>
    </row>
    <row r="79" spans="1:21" s="5" customFormat="1" ht="21.6" thickBot="1" x14ac:dyDescent="0.45">
      <c r="A79" s="884"/>
      <c r="B79" s="288"/>
      <c r="C79" s="270"/>
      <c r="D79" s="270"/>
      <c r="E79" s="262"/>
      <c r="F79" s="266"/>
      <c r="G79" s="267"/>
      <c r="H79" s="268"/>
      <c r="I79" s="267"/>
      <c r="J79" s="269"/>
      <c r="K79" s="267"/>
      <c r="L79" s="267"/>
      <c r="M79" s="259"/>
      <c r="N79" s="370"/>
      <c r="O79" s="119">
        <v>0.5</v>
      </c>
      <c r="P79" s="119" t="s">
        <v>212</v>
      </c>
      <c r="Q79" s="119" t="s">
        <v>213</v>
      </c>
      <c r="R79" s="119"/>
      <c r="S79" s="379">
        <v>0</v>
      </c>
      <c r="T79" s="255"/>
      <c r="U79" s="239" t="s">
        <v>206</v>
      </c>
    </row>
    <row r="80" spans="1:21" ht="22.2" customHeight="1" thickBot="1" x14ac:dyDescent="0.35">
      <c r="B80" s="231"/>
      <c r="C80" s="225"/>
      <c r="D80" s="116"/>
      <c r="E80" s="116"/>
      <c r="F80" s="116"/>
      <c r="G80" s="116"/>
      <c r="H80" s="116"/>
      <c r="I80" s="116"/>
      <c r="J80" s="232"/>
      <c r="K80" s="116"/>
      <c r="L80" s="116"/>
      <c r="M80" s="226"/>
      <c r="N80" s="369"/>
      <c r="O80" s="119">
        <v>10</v>
      </c>
      <c r="P80" s="119" t="s">
        <v>212</v>
      </c>
      <c r="Q80" s="119" t="s">
        <v>215</v>
      </c>
      <c r="R80" s="119"/>
      <c r="S80" s="379">
        <v>0.5</v>
      </c>
      <c r="T80" s="255">
        <v>0.76</v>
      </c>
      <c r="U80" s="239" t="s">
        <v>206</v>
      </c>
    </row>
    <row r="81" spans="1:29" ht="21.6" thickBot="1" x14ac:dyDescent="0.45">
      <c r="B81" s="257" t="s">
        <v>186</v>
      </c>
      <c r="C81" s="225"/>
      <c r="D81" s="116"/>
      <c r="E81" s="116"/>
      <c r="F81" s="116"/>
      <c r="G81" s="116"/>
      <c r="H81" s="116"/>
      <c r="I81" s="116"/>
      <c r="J81" s="232"/>
      <c r="K81" s="116"/>
      <c r="L81" s="116"/>
      <c r="M81" s="226"/>
      <c r="N81" s="369"/>
      <c r="O81" s="651">
        <v>300</v>
      </c>
      <c r="P81" s="119" t="s">
        <v>212</v>
      </c>
      <c r="Q81" s="298" t="str">
        <f>C178</f>
        <v>Lagerlådssäck</v>
      </c>
      <c r="R81" s="119"/>
      <c r="S81" s="379">
        <v>0.5</v>
      </c>
      <c r="T81" s="255">
        <v>0.72</v>
      </c>
      <c r="U81" s="239" t="s">
        <v>206</v>
      </c>
    </row>
    <row r="82" spans="1:29" s="56" customFormat="1" ht="16.95" customHeight="1" thickBot="1" x14ac:dyDescent="0.35">
      <c r="A82" s="885"/>
      <c r="B82" s="235"/>
      <c r="C82" s="245"/>
      <c r="D82" s="249"/>
      <c r="E82" s="249"/>
      <c r="F82" s="250"/>
      <c r="G82" s="120"/>
      <c r="H82" s="249"/>
      <c r="I82" s="249"/>
      <c r="J82" s="249"/>
      <c r="K82" s="249"/>
      <c r="L82" s="249"/>
      <c r="M82" s="234"/>
      <c r="N82" s="369"/>
      <c r="O82" s="651">
        <f t="shared" ref="O82:O84" si="7">D179</f>
        <v>0</v>
      </c>
      <c r="P82" s="119" t="s">
        <v>212</v>
      </c>
      <c r="Q82" s="298" t="s">
        <v>272</v>
      </c>
      <c r="R82" s="119"/>
      <c r="S82" s="379">
        <v>0</v>
      </c>
      <c r="T82" s="255"/>
      <c r="U82" s="239" t="s">
        <v>206</v>
      </c>
    </row>
    <row r="83" spans="1:29" s="69" customFormat="1" ht="16.95" customHeight="1" thickBot="1" x14ac:dyDescent="0.3">
      <c r="A83" s="885"/>
      <c r="B83" s="235"/>
      <c r="C83" s="228" t="s">
        <v>382</v>
      </c>
      <c r="D83" s="236"/>
      <c r="E83" s="236"/>
      <c r="F83" s="247">
        <f>IF('Gårdens info'!D13&gt;0,J140,0)</f>
        <v>1350</v>
      </c>
      <c r="G83" s="119" t="s">
        <v>57</v>
      </c>
      <c r="H83" s="503">
        <f>IF('Gårdens info'!$G$13&gt;0,F83/'Gårdens info'!$G$13,)</f>
        <v>2.7E-2</v>
      </c>
      <c r="I83" s="119" t="s">
        <v>206</v>
      </c>
      <c r="J83" s="237">
        <f>F83*'Gårdens info'!$D$13</f>
        <v>13500</v>
      </c>
      <c r="K83" s="119" t="s">
        <v>380</v>
      </c>
      <c r="L83" s="236"/>
      <c r="M83" s="239"/>
      <c r="N83" s="227"/>
      <c r="O83" s="651">
        <f t="shared" si="7"/>
        <v>0</v>
      </c>
      <c r="P83" s="119" t="s">
        <v>212</v>
      </c>
      <c r="Q83" s="298" t="s">
        <v>272</v>
      </c>
      <c r="R83" s="119"/>
      <c r="S83" s="379">
        <v>0</v>
      </c>
      <c r="T83" s="255"/>
      <c r="U83" s="239" t="s">
        <v>206</v>
      </c>
    </row>
    <row r="84" spans="1:29" s="69" customFormat="1" ht="15.6" thickBot="1" x14ac:dyDescent="0.3">
      <c r="A84" s="885"/>
      <c r="B84" s="235"/>
      <c r="C84" s="228" t="s">
        <v>219</v>
      </c>
      <c r="D84" s="236"/>
      <c r="E84" s="236"/>
      <c r="F84" s="237">
        <f>IF('Gårdens info'!D13&gt;0,J150,0)</f>
        <v>1720</v>
      </c>
      <c r="G84" s="119" t="s">
        <v>57</v>
      </c>
      <c r="H84" s="503">
        <f>IF('Gårdens info'!$G$13&gt;0,F84/'Gårdens info'!$G$13,)</f>
        <v>3.44E-2</v>
      </c>
      <c r="I84" s="119" t="s">
        <v>206</v>
      </c>
      <c r="J84" s="237">
        <f>F84*'Gårdens info'!$D$13</f>
        <v>17200</v>
      </c>
      <c r="K84" s="119" t="s">
        <v>380</v>
      </c>
      <c r="L84" s="236"/>
      <c r="M84" s="239"/>
      <c r="N84" s="369"/>
      <c r="O84" s="651">
        <f t="shared" si="7"/>
        <v>0</v>
      </c>
      <c r="P84" s="119" t="s">
        <v>212</v>
      </c>
      <c r="Q84" s="298" t="s">
        <v>272</v>
      </c>
      <c r="R84" s="119"/>
      <c r="S84" s="378">
        <v>0</v>
      </c>
      <c r="T84" s="255"/>
      <c r="U84" s="239" t="s">
        <v>206</v>
      </c>
    </row>
    <row r="85" spans="1:29" s="69" customFormat="1" ht="17.399999999999999" x14ac:dyDescent="0.3">
      <c r="A85" s="885"/>
      <c r="B85" s="235"/>
      <c r="C85" s="228" t="s">
        <v>220</v>
      </c>
      <c r="D85" s="236"/>
      <c r="E85" s="236"/>
      <c r="F85" s="237">
        <f>IF('Gårdens info'!D13&gt;0,J169,0)</f>
        <v>722.1</v>
      </c>
      <c r="G85" s="119" t="s">
        <v>57</v>
      </c>
      <c r="H85" s="503">
        <f>IF('Gårdens info'!$G$13&gt;0,F85/'Gårdens info'!$G$13,)</f>
        <v>1.4442E-2</v>
      </c>
      <c r="I85" s="119" t="s">
        <v>206</v>
      </c>
      <c r="J85" s="237">
        <f>F85*'Gårdens info'!$D$13</f>
        <v>7221</v>
      </c>
      <c r="K85" s="119" t="s">
        <v>380</v>
      </c>
      <c r="L85" s="236"/>
      <c r="M85" s="239"/>
      <c r="N85" s="371"/>
      <c r="O85" s="1088" t="s">
        <v>54</v>
      </c>
      <c r="P85" s="1088"/>
      <c r="Q85" s="1088"/>
      <c r="R85" s="120"/>
      <c r="S85" s="375">
        <f>SUM(S77:S84)</f>
        <v>1</v>
      </c>
      <c r="T85" s="120"/>
      <c r="U85" s="234"/>
    </row>
    <row r="86" spans="1:29" s="69" customFormat="1" ht="15.6" x14ac:dyDescent="0.3">
      <c r="A86" s="885"/>
      <c r="B86" s="235"/>
      <c r="C86" s="228" t="s">
        <v>221</v>
      </c>
      <c r="D86" s="236"/>
      <c r="E86" s="236"/>
      <c r="F86" s="237">
        <f>IF('Gårdens info'!D13&gt;0,J182,0)</f>
        <v>833.33333333333337</v>
      </c>
      <c r="G86" s="119" t="s">
        <v>57</v>
      </c>
      <c r="H86" s="503">
        <f>IF('Gårdens info'!$G$13&gt;0,F86/'Gårdens info'!$G$13,)</f>
        <v>1.6666666666666666E-2</v>
      </c>
      <c r="I86" s="119" t="s">
        <v>206</v>
      </c>
      <c r="J86" s="237">
        <f>F86*'Gårdens info'!$D$13</f>
        <v>8333.3333333333339</v>
      </c>
      <c r="K86" s="119" t="s">
        <v>380</v>
      </c>
      <c r="L86" s="236"/>
      <c r="M86" s="239"/>
      <c r="N86" s="227"/>
      <c r="O86" s="376" t="str">
        <f>IF(S85=100%," ","HUOM! Osuus myyynneistä pitää summautua 100 prosenttiin")</f>
        <v xml:space="preserve"> </v>
      </c>
      <c r="P86" s="119"/>
      <c r="R86" s="119"/>
      <c r="S86" s="119"/>
      <c r="T86" s="119"/>
      <c r="U86" s="239"/>
    </row>
    <row r="87" spans="1:29" s="69" customFormat="1" ht="15.6" thickBot="1" x14ac:dyDescent="0.3">
      <c r="A87" s="885"/>
      <c r="B87" s="235"/>
      <c r="C87" s="228" t="s">
        <v>222</v>
      </c>
      <c r="D87" s="236"/>
      <c r="E87" s="236"/>
      <c r="F87" s="237">
        <f>IF('Gårdens info'!D13&gt;0,J190,0)</f>
        <v>900</v>
      </c>
      <c r="G87" s="119" t="s">
        <v>57</v>
      </c>
      <c r="H87" s="503">
        <f>IF('Gårdens info'!$G$13&gt;0,F87/'Gårdens info'!$G$13,)</f>
        <v>1.7999999999999999E-2</v>
      </c>
      <c r="I87" s="119" t="s">
        <v>206</v>
      </c>
      <c r="J87" s="237">
        <f>F87*'Gårdens info'!$D$13</f>
        <v>9000</v>
      </c>
      <c r="K87" s="119" t="s">
        <v>380</v>
      </c>
      <c r="L87" s="236"/>
      <c r="M87" s="239"/>
      <c r="N87" s="372"/>
      <c r="O87" s="373"/>
      <c r="P87" s="373"/>
      <c r="Q87" s="373"/>
      <c r="R87" s="373"/>
      <c r="S87" s="373"/>
      <c r="T87" s="373"/>
      <c r="U87" s="374"/>
    </row>
    <row r="88" spans="1:29" s="69" customFormat="1" ht="15" x14ac:dyDescent="0.25">
      <c r="A88" s="885"/>
      <c r="B88" s="235"/>
      <c r="C88" s="228" t="s">
        <v>223</v>
      </c>
      <c r="D88" s="236"/>
      <c r="E88" s="236"/>
      <c r="F88" s="237">
        <f>IF('Gårdens info'!D13&gt;0,J198,0)</f>
        <v>0</v>
      </c>
      <c r="G88" s="119" t="s">
        <v>57</v>
      </c>
      <c r="H88" s="503">
        <f>IF('Gårdens info'!$G$13&gt;0,F88/'Gårdens info'!$G$13,)</f>
        <v>0</v>
      </c>
      <c r="I88" s="119" t="s">
        <v>206</v>
      </c>
      <c r="J88" s="237">
        <f>F88*'Gårdens info'!$D$13</f>
        <v>0</v>
      </c>
      <c r="K88" s="119" t="s">
        <v>380</v>
      </c>
      <c r="L88" s="236"/>
      <c r="M88" s="239"/>
    </row>
    <row r="89" spans="1:29" s="69" customFormat="1" ht="15" x14ac:dyDescent="0.25">
      <c r="A89" s="885"/>
      <c r="B89" s="235"/>
      <c r="C89" s="228" t="s">
        <v>224</v>
      </c>
      <c r="D89" s="236"/>
      <c r="E89" s="236"/>
      <c r="F89" s="237">
        <f>IF('Gårdens info'!D13&gt;0,J210,0)</f>
        <v>1334.1200000000001</v>
      </c>
      <c r="G89" s="119" t="s">
        <v>57</v>
      </c>
      <c r="H89" s="503">
        <f>IF('Gårdens info'!$G$13&gt;0,F89/'Gårdens info'!$G$13,)</f>
        <v>2.6682400000000002E-2</v>
      </c>
      <c r="I89" s="119" t="s">
        <v>206</v>
      </c>
      <c r="J89" s="237">
        <f>F89*'Gårdens info'!$D$13</f>
        <v>13341.2</v>
      </c>
      <c r="K89" s="119" t="s">
        <v>380</v>
      </c>
      <c r="L89" s="236"/>
      <c r="M89" s="239"/>
    </row>
    <row r="90" spans="1:29" s="69" customFormat="1" ht="15" x14ac:dyDescent="0.25">
      <c r="A90" s="885"/>
      <c r="B90" s="235"/>
      <c r="C90" s="228" t="s">
        <v>225</v>
      </c>
      <c r="D90" s="236"/>
      <c r="E90" s="236"/>
      <c r="F90" s="237">
        <f>L247</f>
        <v>1319.5</v>
      </c>
      <c r="G90" s="119" t="s">
        <v>57</v>
      </c>
      <c r="H90" s="503">
        <f>IF('Gårdens info'!$G$13&gt;0,F90/'Gårdens info'!$G$13,)</f>
        <v>2.639E-2</v>
      </c>
      <c r="I90" s="119" t="s">
        <v>206</v>
      </c>
      <c r="J90" s="237">
        <f>F90*'Gårdens info'!$D$13</f>
        <v>13195</v>
      </c>
      <c r="K90" s="119" t="s">
        <v>380</v>
      </c>
      <c r="L90" s="236"/>
      <c r="M90" s="239"/>
    </row>
    <row r="91" spans="1:29" ht="15.6" x14ac:dyDescent="0.3">
      <c r="B91" s="251"/>
      <c r="C91" s="240" t="s">
        <v>54</v>
      </c>
      <c r="D91" s="241"/>
      <c r="E91" s="241"/>
      <c r="F91" s="242">
        <f>SUM(F83:F90)</f>
        <v>8179.0533333333333</v>
      </c>
      <c r="G91" s="243" t="s">
        <v>57</v>
      </c>
      <c r="H91" s="504">
        <f>SUM(H83:H90)</f>
        <v>0.16358106666666666</v>
      </c>
      <c r="I91" s="243" t="s">
        <v>206</v>
      </c>
      <c r="J91" s="242">
        <f>SUM(J83:J90)</f>
        <v>81790.53333333334</v>
      </c>
      <c r="K91" s="230" t="s">
        <v>380</v>
      </c>
      <c r="L91" s="241"/>
      <c r="M91" s="252"/>
      <c r="N91" s="69"/>
      <c r="O91" s="69"/>
      <c r="P91" s="69"/>
      <c r="Q91" s="69"/>
      <c r="R91" s="69"/>
      <c r="S91" s="69"/>
      <c r="T91" s="69"/>
      <c r="U91" s="69"/>
    </row>
    <row r="92" spans="1:29" s="56" customFormat="1" ht="17.399999999999999" x14ac:dyDescent="0.3">
      <c r="A92" s="886"/>
      <c r="B92" s="231"/>
      <c r="C92" s="245"/>
      <c r="D92" s="246"/>
      <c r="E92" s="246"/>
      <c r="F92" s="247"/>
      <c r="G92" s="119"/>
      <c r="H92" s="505"/>
      <c r="I92" s="246"/>
      <c r="J92" s="246"/>
      <c r="K92" s="119"/>
      <c r="L92" s="246"/>
      <c r="M92" s="226"/>
      <c r="N92" s="69"/>
      <c r="O92" s="69"/>
      <c r="P92" s="69"/>
      <c r="R92" s="69"/>
      <c r="S92" s="69"/>
      <c r="T92" s="69"/>
      <c r="U92" s="69"/>
      <c r="AB92" s="449" t="str">
        <f>C83</f>
        <v>Plantor</v>
      </c>
      <c r="AC92" s="561">
        <f>F83</f>
        <v>1350</v>
      </c>
    </row>
    <row r="93" spans="1:29" s="69" customFormat="1" ht="18" customHeight="1" x14ac:dyDescent="0.3">
      <c r="A93" s="885"/>
      <c r="B93" s="1089" t="s">
        <v>459</v>
      </c>
      <c r="C93" s="1090"/>
      <c r="D93" s="1090"/>
      <c r="E93" s="1090"/>
      <c r="F93" s="263">
        <f>IF('Gårdens info'!D13&gt;0,J93/'Gårdens info'!D13,0)</f>
        <v>238.2978723404255</v>
      </c>
      <c r="G93" s="243" t="s">
        <v>57</v>
      </c>
      <c r="H93" s="506">
        <f>IF('Gårdens info'!G13&gt;0,F93/'Gårdens info'!G13,0)</f>
        <v>4.7659574468085098E-3</v>
      </c>
      <c r="I93" s="243" t="s">
        <v>206</v>
      </c>
      <c r="J93" s="258">
        <f>'Gårdens info'!G163/'Gårdens info'!D43*'Gårdens info'!D13</f>
        <v>2382.9787234042551</v>
      </c>
      <c r="K93" s="230" t="s">
        <v>380</v>
      </c>
      <c r="L93" s="265"/>
      <c r="M93" s="259"/>
      <c r="N93"/>
      <c r="O93"/>
      <c r="P93"/>
      <c r="S93"/>
      <c r="T93"/>
      <c r="U93"/>
      <c r="AB93" s="382" t="str">
        <f t="shared" ref="AB93:AB99" si="8">C84</f>
        <v>Gödsel och kalk</v>
      </c>
      <c r="AC93" s="561">
        <f t="shared" ref="AC93:AC99" si="9">F84</f>
        <v>1720</v>
      </c>
    </row>
    <row r="94" spans="1:29" s="69" customFormat="1" ht="18" customHeight="1" x14ac:dyDescent="0.3">
      <c r="A94" s="885"/>
      <c r="B94" s="1091" t="s">
        <v>387</v>
      </c>
      <c r="C94" s="1092"/>
      <c r="D94" s="1092"/>
      <c r="E94" s="1092"/>
      <c r="F94" s="263">
        <f>IF('Gårdens info'!D13&gt;0,J94/'Gårdens info'!D13,0)</f>
        <v>187.2340425531915</v>
      </c>
      <c r="G94" s="243" t="s">
        <v>57</v>
      </c>
      <c r="H94" s="506">
        <f>IF('Gårdens info'!G13&gt;0,F94/'Gårdens info'!G13,0)</f>
        <v>3.7446808510638299E-3</v>
      </c>
      <c r="I94" s="243" t="s">
        <v>206</v>
      </c>
      <c r="J94" s="258">
        <f>'Gårdens info'!$D$48/'Gårdens info'!$D$49*'Gårdens info'!$G$48*'Gårdens info'!D13</f>
        <v>1872.3404255319151</v>
      </c>
      <c r="K94" s="230" t="s">
        <v>380</v>
      </c>
      <c r="L94" s="265"/>
      <c r="M94" s="259"/>
      <c r="N94" s="56"/>
      <c r="O94" s="56"/>
      <c r="P94" s="56"/>
      <c r="S94" s="56"/>
      <c r="T94" s="56"/>
      <c r="U94" s="56"/>
      <c r="AB94" s="382" t="str">
        <f t="shared" si="8"/>
        <v>IPM Växtskydd</v>
      </c>
      <c r="AC94" s="561">
        <f t="shared" si="9"/>
        <v>722.1</v>
      </c>
    </row>
    <row r="95" spans="1:29" s="69" customFormat="1" ht="19.95" customHeight="1" x14ac:dyDescent="0.4">
      <c r="A95" s="885"/>
      <c r="B95" s="1061" t="s">
        <v>189</v>
      </c>
      <c r="C95" s="1043"/>
      <c r="D95" s="1043"/>
      <c r="E95" s="262"/>
      <c r="F95" s="266">
        <f>F91+F93+F94</f>
        <v>8604.5852482269493</v>
      </c>
      <c r="G95" s="267" t="s">
        <v>57</v>
      </c>
      <c r="H95" s="507">
        <f>H91+H93+H94</f>
        <v>0.17209170496453902</v>
      </c>
      <c r="I95" s="267" t="s">
        <v>206</v>
      </c>
      <c r="J95" s="269">
        <f>J91+J93+J94</f>
        <v>86045.852482269518</v>
      </c>
      <c r="K95" s="267" t="s">
        <v>380</v>
      </c>
      <c r="L95" s="267"/>
      <c r="M95" s="259"/>
      <c r="AB95" s="382" t="str">
        <f t="shared" si="8"/>
        <v>Packningsmaterial</v>
      </c>
      <c r="AC95" s="561">
        <f t="shared" si="9"/>
        <v>833.33333333333337</v>
      </c>
    </row>
    <row r="96" spans="1:29" s="69" customFormat="1" ht="21" x14ac:dyDescent="0.4">
      <c r="A96" s="885"/>
      <c r="B96" s="288"/>
      <c r="C96" s="270"/>
      <c r="D96" s="270"/>
      <c r="E96" s="262"/>
      <c r="F96" s="266"/>
      <c r="G96" s="267"/>
      <c r="H96" s="268"/>
      <c r="I96" s="267"/>
      <c r="J96" s="269"/>
      <c r="K96" s="267"/>
      <c r="L96" s="267"/>
      <c r="M96" s="259"/>
      <c r="AB96" s="382" t="str">
        <f t="shared" si="8"/>
        <v>Fraktkostnader</v>
      </c>
      <c r="AC96" s="561">
        <f t="shared" si="9"/>
        <v>900</v>
      </c>
    </row>
    <row r="97" spans="1:57" s="69" customFormat="1" ht="21" x14ac:dyDescent="0.4">
      <c r="A97" s="885"/>
      <c r="B97" s="257" t="s">
        <v>388</v>
      </c>
      <c r="C97" s="225"/>
      <c r="D97" s="116"/>
      <c r="E97" s="116"/>
      <c r="F97" s="116"/>
      <c r="G97" s="116"/>
      <c r="H97" s="116"/>
      <c r="I97" s="116"/>
      <c r="J97" s="232"/>
      <c r="K97" s="116"/>
      <c r="L97" s="116"/>
      <c r="M97" s="226"/>
      <c r="AB97" s="382" t="str">
        <f t="shared" si="8"/>
        <v>Maskinkostnader och entreprenad</v>
      </c>
      <c r="AC97" s="561">
        <f t="shared" si="9"/>
        <v>0</v>
      </c>
    </row>
    <row r="98" spans="1:57" s="69" customFormat="1" ht="19.95" customHeight="1" x14ac:dyDescent="0.4">
      <c r="A98" s="885"/>
      <c r="B98" s="1081" t="s">
        <v>69</v>
      </c>
      <c r="C98" s="1082"/>
      <c r="D98" s="270"/>
      <c r="E98" s="262"/>
      <c r="F98" s="266"/>
      <c r="G98" s="267"/>
      <c r="H98" s="268"/>
      <c r="I98" s="267"/>
      <c r="J98" s="269"/>
      <c r="K98" s="267"/>
      <c r="L98" s="267"/>
      <c r="M98" s="259"/>
      <c r="AB98" s="382" t="str">
        <f t="shared" si="8"/>
        <v>Energikostnader</v>
      </c>
      <c r="AC98" s="561">
        <f t="shared" si="9"/>
        <v>1334.1200000000001</v>
      </c>
    </row>
    <row r="99" spans="1:57" s="69" customFormat="1" ht="21" x14ac:dyDescent="0.4">
      <c r="A99" s="885"/>
      <c r="B99" s="287"/>
      <c r="C99" s="274" t="s">
        <v>229</v>
      </c>
      <c r="D99" s="270"/>
      <c r="E99" s="262"/>
      <c r="F99" s="276">
        <f>IF('Gårdens info'!$D$13&gt;0,J99/'Gårdens info'!$D$13,0)</f>
        <v>317.88384128809662</v>
      </c>
      <c r="G99" s="119" t="s">
        <v>57</v>
      </c>
      <c r="H99" s="502">
        <f>IF('Gårdens info'!$G$13&gt;0,F99/'Gårdens info'!$G$13,0)</f>
        <v>6.3576768257619324E-3</v>
      </c>
      <c r="I99" s="119" t="s">
        <v>206</v>
      </c>
      <c r="J99" s="237">
        <f>Egendom!AM25</f>
        <v>3178.8384128809662</v>
      </c>
      <c r="K99" s="119" t="s">
        <v>380</v>
      </c>
      <c r="L99" s="267"/>
      <c r="M99" s="259"/>
      <c r="AB99" s="382" t="str">
        <f t="shared" si="8"/>
        <v>Anställd arbetskraft</v>
      </c>
      <c r="AC99" s="561">
        <f t="shared" si="9"/>
        <v>1319.5</v>
      </c>
    </row>
    <row r="100" spans="1:57" s="192" customFormat="1" ht="21" x14ac:dyDescent="0.4">
      <c r="A100" s="887"/>
      <c r="B100" s="287"/>
      <c r="C100" s="274" t="s">
        <v>230</v>
      </c>
      <c r="D100" s="270"/>
      <c r="E100" s="262"/>
      <c r="F100" s="276">
        <f>IF('Gårdens info'!$D$13&gt;0,J100/'Gårdens info'!$D$13,0)</f>
        <v>198.67740080506036</v>
      </c>
      <c r="G100" s="119" t="s">
        <v>57</v>
      </c>
      <c r="H100" s="502">
        <f>IF('Gårdens info'!$G$13&gt;0,F100/'Gårdens info'!$G$13,0)</f>
        <v>3.9735480161012075E-3</v>
      </c>
      <c r="I100" s="119" t="s">
        <v>206</v>
      </c>
      <c r="J100" s="237">
        <f>Egendom!BK25</f>
        <v>1986.7740080506037</v>
      </c>
      <c r="K100" s="119" t="s">
        <v>380</v>
      </c>
      <c r="L100" s="267"/>
      <c r="M100" s="259"/>
      <c r="N100" s="69"/>
      <c r="O100" s="69"/>
      <c r="P100" s="69"/>
      <c r="S100" s="69"/>
      <c r="T100" s="69"/>
      <c r="U100" s="69"/>
      <c r="AB100" s="384" t="s">
        <v>464</v>
      </c>
      <c r="AC100" s="384">
        <f>F93</f>
        <v>238.2978723404255</v>
      </c>
    </row>
    <row r="101" spans="1:57" ht="17.399999999999999" customHeight="1" x14ac:dyDescent="0.3">
      <c r="B101" s="287"/>
      <c r="C101" s="1083" t="s">
        <v>232</v>
      </c>
      <c r="D101" s="1083"/>
      <c r="E101" s="262"/>
      <c r="F101" s="276">
        <f>IF('Gårdens info'!$D$13&gt;0,J101/'Gårdens info'!$D$13,0)</f>
        <v>79.470960322024155</v>
      </c>
      <c r="G101" s="119" t="s">
        <v>57</v>
      </c>
      <c r="H101" s="502">
        <f>IF('Gårdens info'!$G$13&gt;0,F101/'Gårdens info'!$G$13,0)</f>
        <v>1.5894192064404831E-3</v>
      </c>
      <c r="I101" s="119" t="s">
        <v>206</v>
      </c>
      <c r="J101" s="237">
        <f>Egendom!CI25</f>
        <v>794.70960322024155</v>
      </c>
      <c r="K101" s="119" t="s">
        <v>380</v>
      </c>
      <c r="L101" s="267"/>
      <c r="M101" s="259"/>
      <c r="N101" s="69"/>
      <c r="O101" s="69"/>
      <c r="P101" s="69"/>
      <c r="S101" s="69"/>
      <c r="T101" s="69"/>
      <c r="U101" s="69"/>
      <c r="AB101" s="382" t="s">
        <v>465</v>
      </c>
      <c r="AC101" s="384">
        <f>F94</f>
        <v>187.2340425531915</v>
      </c>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row>
    <row r="102" spans="1:57" ht="21" x14ac:dyDescent="0.4">
      <c r="B102" s="287"/>
      <c r="C102" s="274" t="s">
        <v>234</v>
      </c>
      <c r="D102" s="270"/>
      <c r="E102" s="262"/>
      <c r="F102" s="276">
        <f>IF('Gårdens info'!$D$13&gt;0,J102/'Gårdens info'!$D$13,0)</f>
        <v>15.89419206440483</v>
      </c>
      <c r="G102" s="119" t="s">
        <v>57</v>
      </c>
      <c r="H102" s="502">
        <f>IF('Gårdens info'!$G$13&gt;0,F102/'Gårdens info'!$G$13,0)</f>
        <v>3.1788384128809662E-4</v>
      </c>
      <c r="I102" s="119" t="s">
        <v>206</v>
      </c>
      <c r="J102" s="237">
        <f>Egendom!DG25</f>
        <v>158.94192064404831</v>
      </c>
      <c r="K102" s="119" t="s">
        <v>380</v>
      </c>
      <c r="L102" s="267"/>
      <c r="M102" s="259"/>
      <c r="N102" s="192"/>
      <c r="O102" s="192"/>
      <c r="P102" s="192"/>
      <c r="S102" s="192"/>
      <c r="T102" s="192"/>
      <c r="U102" s="192"/>
      <c r="AB102" s="382" t="s">
        <v>466</v>
      </c>
      <c r="AC102" s="385">
        <f>F103</f>
        <v>611.92639447958607</v>
      </c>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row>
    <row r="103" spans="1:57" ht="20.399999999999999" x14ac:dyDescent="0.35">
      <c r="B103" s="289"/>
      <c r="C103" s="278" t="s">
        <v>54</v>
      </c>
      <c r="D103" s="279"/>
      <c r="E103" s="262"/>
      <c r="F103" s="280">
        <f>SUM(F99:F102)</f>
        <v>611.92639447958607</v>
      </c>
      <c r="G103" s="119" t="s">
        <v>57</v>
      </c>
      <c r="H103" s="509">
        <f t="shared" ref="H103:J103" si="10">SUM(H99:H102)</f>
        <v>1.2238527889591719E-2</v>
      </c>
      <c r="I103" s="119" t="s">
        <v>206</v>
      </c>
      <c r="J103" s="280">
        <f t="shared" si="10"/>
        <v>6119.2639447958591</v>
      </c>
      <c r="K103" s="119" t="s">
        <v>380</v>
      </c>
      <c r="L103" s="281"/>
      <c r="M103" s="259"/>
      <c r="AB103" s="382" t="s">
        <v>467</v>
      </c>
      <c r="AC103" s="386">
        <f>F110</f>
        <v>700.42695035460997</v>
      </c>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row>
    <row r="104" spans="1:57" s="69" customFormat="1" ht="21" x14ac:dyDescent="0.4">
      <c r="A104" s="885"/>
      <c r="B104" s="287"/>
      <c r="C104" s="274"/>
      <c r="D104" s="270"/>
      <c r="E104" s="262"/>
      <c r="F104" s="276"/>
      <c r="G104" s="119"/>
      <c r="H104" s="277"/>
      <c r="I104" s="119"/>
      <c r="J104" s="237"/>
      <c r="K104" s="119"/>
      <c r="L104" s="267"/>
      <c r="M104" s="259"/>
      <c r="N104"/>
      <c r="O104"/>
      <c r="P104"/>
      <c r="S104"/>
      <c r="T104"/>
      <c r="U104"/>
      <c r="AB104" s="382" t="s">
        <v>468</v>
      </c>
      <c r="AC104" s="386">
        <f>F117</f>
        <v>654.16252252252252</v>
      </c>
    </row>
    <row r="105" spans="1:57" s="69" customFormat="1" ht="18" customHeight="1" x14ac:dyDescent="0.3">
      <c r="A105" s="885"/>
      <c r="B105" s="1081" t="s">
        <v>83</v>
      </c>
      <c r="C105" s="1082"/>
      <c r="D105" s="1082"/>
      <c r="E105" s="262"/>
      <c r="F105" s="276"/>
      <c r="G105" s="119"/>
      <c r="H105" s="277"/>
      <c r="I105" s="119"/>
      <c r="J105" s="237"/>
      <c r="K105" s="119"/>
      <c r="L105" s="267"/>
      <c r="M105" s="259"/>
      <c r="N105"/>
      <c r="O105"/>
      <c r="P105"/>
      <c r="S105"/>
      <c r="T105"/>
      <c r="U105"/>
      <c r="AB105" s="382" t="s">
        <v>469</v>
      </c>
      <c r="AC105" s="386">
        <f>F123</f>
        <v>12.76595744680851</v>
      </c>
    </row>
    <row r="106" spans="1:57" s="69" customFormat="1" ht="21" x14ac:dyDescent="0.4">
      <c r="A106" s="885"/>
      <c r="B106" s="287"/>
      <c r="C106" s="274" t="s">
        <v>229</v>
      </c>
      <c r="D106" s="270"/>
      <c r="E106" s="262"/>
      <c r="F106" s="276">
        <f>IF('Gårdens info'!$D$13&gt;0,J106/'Gårdens info'!$D$13,0)</f>
        <v>377.58865248226954</v>
      </c>
      <c r="G106" s="119" t="s">
        <v>57</v>
      </c>
      <c r="H106" s="502">
        <f>IF('Gårdens info'!$G$13&gt;0,F106/'Gårdens info'!$G$13,0)</f>
        <v>7.5517730496453906E-3</v>
      </c>
      <c r="I106" s="119" t="s">
        <v>206</v>
      </c>
      <c r="J106" s="237">
        <f>Egendom!AM61</f>
        <v>3775.8865248226953</v>
      </c>
      <c r="K106" s="119" t="s">
        <v>380</v>
      </c>
      <c r="L106" s="267"/>
      <c r="M106" s="259"/>
      <c r="AB106" s="382" t="s">
        <v>470</v>
      </c>
      <c r="AC106" s="384">
        <f>F129</f>
        <v>2972.5</v>
      </c>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row>
    <row r="107" spans="1:57" s="5" customFormat="1" ht="21" x14ac:dyDescent="0.4">
      <c r="A107" s="884"/>
      <c r="B107" s="287"/>
      <c r="C107" s="274" t="s">
        <v>230</v>
      </c>
      <c r="D107" s="270"/>
      <c r="E107" s="262"/>
      <c r="F107" s="276">
        <f>IF('Gårdens info'!$D$13&gt;0,J107/'Gårdens info'!$D$13,0)</f>
        <v>141.59574468085106</v>
      </c>
      <c r="G107" s="119" t="s">
        <v>57</v>
      </c>
      <c r="H107" s="502">
        <f>IF('Gårdens info'!$G$13&gt;0,F107/'Gårdens info'!$G$13,0)</f>
        <v>2.8319148936170211E-3</v>
      </c>
      <c r="I107" s="119" t="s">
        <v>206</v>
      </c>
      <c r="J107" s="237">
        <f>Egendom!BK61</f>
        <v>1415.9574468085104</v>
      </c>
      <c r="K107" s="119" t="s">
        <v>380</v>
      </c>
      <c r="L107" s="267"/>
      <c r="M107" s="259"/>
      <c r="N107" s="69"/>
      <c r="O107" s="69"/>
      <c r="P107" s="69"/>
      <c r="Q107" s="69"/>
      <c r="R107" s="69"/>
      <c r="S107" s="69"/>
      <c r="T107" s="69"/>
      <c r="U107" s="69"/>
      <c r="AB107" s="562"/>
      <c r="AC107" s="562"/>
      <c r="AE107"/>
      <c r="AF107"/>
      <c r="AG107"/>
      <c r="AH107"/>
      <c r="AI107"/>
      <c r="AJ107"/>
      <c r="AK107"/>
      <c r="AL107"/>
      <c r="AM107"/>
      <c r="AN107"/>
      <c r="AO107"/>
      <c r="AP107"/>
      <c r="AQ107"/>
      <c r="AR107"/>
      <c r="AS107"/>
      <c r="AT107"/>
      <c r="AU107"/>
      <c r="AV107"/>
      <c r="AW107"/>
      <c r="AX107"/>
      <c r="AY107"/>
      <c r="AZ107"/>
      <c r="BA107"/>
      <c r="BB107"/>
      <c r="BC107"/>
      <c r="BD107"/>
      <c r="BE107"/>
    </row>
    <row r="108" spans="1:57" s="5" customFormat="1" ht="17.399999999999999" customHeight="1" x14ac:dyDescent="0.3">
      <c r="A108" s="884"/>
      <c r="B108" s="287"/>
      <c r="C108" s="1083" t="s">
        <v>232</v>
      </c>
      <c r="D108" s="1083"/>
      <c r="E108" s="262"/>
      <c r="F108" s="276">
        <f>IF('Gårdens info'!$D$13&gt;0,J108/'Gårdens info'!$D$13,0)</f>
        <v>169.91489361702131</v>
      </c>
      <c r="G108" s="119" t="s">
        <v>57</v>
      </c>
      <c r="H108" s="502">
        <f>IF('Gårdens info'!$G$13&gt;0,F108/'Gårdens info'!$G$13,0)</f>
        <v>3.3982978723404262E-3</v>
      </c>
      <c r="I108" s="119" t="s">
        <v>206</v>
      </c>
      <c r="J108" s="237">
        <f>Egendom!CI61</f>
        <v>1699.1489361702131</v>
      </c>
      <c r="K108" s="119" t="s">
        <v>380</v>
      </c>
      <c r="L108" s="267"/>
      <c r="M108" s="259"/>
      <c r="N108" s="69"/>
      <c r="O108" s="69"/>
      <c r="P108" s="69"/>
      <c r="Q108" s="69"/>
      <c r="R108" s="69"/>
      <c r="S108" s="69"/>
      <c r="T108" s="69"/>
      <c r="U108" s="69"/>
      <c r="AE108"/>
      <c r="AF108"/>
      <c r="AG108"/>
      <c r="AH108"/>
      <c r="AI108"/>
      <c r="AJ108"/>
      <c r="AK108"/>
      <c r="AL108"/>
      <c r="AM108"/>
      <c r="AN108"/>
      <c r="AO108"/>
      <c r="AP108"/>
      <c r="AQ108"/>
      <c r="AR108"/>
      <c r="AS108"/>
      <c r="AT108"/>
      <c r="AU108"/>
      <c r="AV108"/>
      <c r="AW108"/>
      <c r="AX108"/>
      <c r="AY108"/>
      <c r="AZ108"/>
      <c r="BA108"/>
      <c r="BB108"/>
      <c r="BC108"/>
      <c r="BD108"/>
      <c r="BE108"/>
    </row>
    <row r="109" spans="1:57" s="5" customFormat="1" ht="21" x14ac:dyDescent="0.4">
      <c r="A109" s="884"/>
      <c r="B109" s="287"/>
      <c r="C109" s="274" t="s">
        <v>234</v>
      </c>
      <c r="D109" s="270"/>
      <c r="E109" s="262"/>
      <c r="F109" s="276">
        <f>IF('Gårdens info'!$D$13&gt;0,J109/'Gårdens info'!$D$13,0)</f>
        <v>11.327659574468083</v>
      </c>
      <c r="G109" s="119" t="s">
        <v>57</v>
      </c>
      <c r="H109" s="502">
        <f>IF('Gårdens info'!$G$13&gt;0,F109/'Gårdens info'!$G$13,0)</f>
        <v>2.2655319148936166E-4</v>
      </c>
      <c r="I109" s="119" t="s">
        <v>206</v>
      </c>
      <c r="J109" s="237">
        <f>Egendom!DG61</f>
        <v>113.27659574468083</v>
      </c>
      <c r="K109" s="119" t="s">
        <v>380</v>
      </c>
      <c r="L109" s="267"/>
      <c r="M109" s="259"/>
      <c r="AE109"/>
      <c r="AF109"/>
      <c r="AG109"/>
      <c r="AH109"/>
      <c r="AI109"/>
      <c r="AJ109"/>
      <c r="AK109"/>
      <c r="AL109"/>
      <c r="AM109"/>
      <c r="AN109"/>
      <c r="AO109"/>
      <c r="AP109"/>
      <c r="AQ109"/>
      <c r="AR109"/>
      <c r="AS109"/>
      <c r="AT109"/>
      <c r="AU109"/>
      <c r="AV109"/>
      <c r="AW109"/>
      <c r="AX109"/>
      <c r="AY109"/>
      <c r="AZ109"/>
      <c r="BA109"/>
      <c r="BB109"/>
      <c r="BC109"/>
      <c r="BD109"/>
      <c r="BE109"/>
    </row>
    <row r="110" spans="1:57" s="5" customFormat="1" ht="20.399999999999999" x14ac:dyDescent="0.35">
      <c r="A110" s="884"/>
      <c r="B110" s="289"/>
      <c r="C110" s="278" t="s">
        <v>54</v>
      </c>
      <c r="D110" s="279"/>
      <c r="E110" s="262"/>
      <c r="F110" s="280">
        <f>SUM(F106:F109)</f>
        <v>700.42695035460997</v>
      </c>
      <c r="G110" s="119" t="s">
        <v>57</v>
      </c>
      <c r="H110" s="509">
        <f t="shared" ref="H110:J110" si="11">SUM(H106:H109)</f>
        <v>1.40085390070922E-2</v>
      </c>
      <c r="I110" s="119" t="s">
        <v>206</v>
      </c>
      <c r="J110" s="280">
        <f t="shared" si="11"/>
        <v>7004.2695035461002</v>
      </c>
      <c r="K110" s="119" t="s">
        <v>380</v>
      </c>
      <c r="L110" s="281"/>
      <c r="M110" s="25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row>
    <row r="111" spans="1:57" s="5" customFormat="1" ht="21" x14ac:dyDescent="0.4">
      <c r="A111" s="884"/>
      <c r="B111" s="287"/>
      <c r="C111" s="274"/>
      <c r="D111" s="270"/>
      <c r="E111" s="262"/>
      <c r="F111" s="276"/>
      <c r="G111" s="119"/>
      <c r="H111" s="277"/>
      <c r="I111" s="119"/>
      <c r="J111" s="237"/>
      <c r="K111" s="119"/>
      <c r="L111" s="267"/>
      <c r="M111" s="25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row>
    <row r="112" spans="1:57" s="5" customFormat="1" ht="43.2" customHeight="1" x14ac:dyDescent="0.3">
      <c r="A112" s="884"/>
      <c r="B112" s="1081" t="s">
        <v>355</v>
      </c>
      <c r="C112" s="1082"/>
      <c r="D112" s="1082"/>
      <c r="E112" s="262"/>
      <c r="F112" s="276"/>
      <c r="G112" s="119"/>
      <c r="H112" s="277"/>
      <c r="I112" s="119"/>
      <c r="J112" s="237"/>
      <c r="K112" s="119"/>
      <c r="L112" s="267"/>
      <c r="M112" s="25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row>
    <row r="113" spans="1:57" ht="21" x14ac:dyDescent="0.4">
      <c r="B113" s="287"/>
      <c r="C113" s="274" t="s">
        <v>229</v>
      </c>
      <c r="D113" s="270"/>
      <c r="E113" s="262"/>
      <c r="F113" s="276">
        <f>IF('Gårdens info'!$D$13&gt;0,J113/'Gårdens info'!$D$13,0)</f>
        <v>515.06306306306305</v>
      </c>
      <c r="G113" s="119" t="s">
        <v>57</v>
      </c>
      <c r="H113" s="502">
        <f>IF('Gårdens info'!$G$13&gt;0,F113/'Gårdens info'!$G$13,0)</f>
        <v>1.0301261261261262E-2</v>
      </c>
      <c r="I113" s="119" t="s">
        <v>206</v>
      </c>
      <c r="J113" s="237">
        <f>Egendom!AM90</f>
        <v>5150.6306306306305</v>
      </c>
      <c r="K113" s="119" t="s">
        <v>380</v>
      </c>
      <c r="L113" s="267"/>
      <c r="M113" s="259"/>
      <c r="N113" s="5"/>
      <c r="O113" s="5"/>
      <c r="P113" s="5"/>
      <c r="Q113" s="5"/>
      <c r="R113" s="5"/>
      <c r="S113" s="5"/>
      <c r="T113" s="5"/>
      <c r="U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row>
    <row r="114" spans="1:57" s="5" customFormat="1" ht="21" x14ac:dyDescent="0.4">
      <c r="A114" s="884"/>
      <c r="B114" s="287"/>
      <c r="C114" s="274" t="s">
        <v>230</v>
      </c>
      <c r="D114" s="270"/>
      <c r="E114" s="262"/>
      <c r="F114" s="276">
        <f>IF('Gårdens info'!$D$13&gt;0,J114/'Gårdens info'!$D$13,0)</f>
        <v>45.162162162162161</v>
      </c>
      <c r="G114" s="119" t="s">
        <v>57</v>
      </c>
      <c r="H114" s="502">
        <f>IF('Gårdens info'!$G$13&gt;0,F114/'Gårdens info'!$G$13,0)</f>
        <v>9.0324324324324323E-4</v>
      </c>
      <c r="I114" s="119" t="s">
        <v>206</v>
      </c>
      <c r="J114" s="237">
        <f>Egendom!BK90</f>
        <v>451.62162162162161</v>
      </c>
      <c r="K114" s="119" t="s">
        <v>380</v>
      </c>
      <c r="L114" s="267"/>
      <c r="M114" s="259"/>
    </row>
    <row r="115" spans="1:57" s="5" customFormat="1" ht="17.399999999999999" customHeight="1" x14ac:dyDescent="0.3">
      <c r="A115" s="884"/>
      <c r="B115" s="287"/>
      <c r="C115" s="1083" t="s">
        <v>232</v>
      </c>
      <c r="D115" s="1083"/>
      <c r="E115" s="262"/>
      <c r="F115" s="276">
        <f>IF('Gårdens info'!$D$13&gt;0,J115/'Gårdens info'!$D$13,0)</f>
        <v>90.324324324324323</v>
      </c>
      <c r="G115" s="119" t="s">
        <v>57</v>
      </c>
      <c r="H115" s="502">
        <f>IF('Gårdens info'!$G$13&gt;0,F115/'Gårdens info'!$G$13,0)</f>
        <v>1.8064864864864865E-3</v>
      </c>
      <c r="I115" s="119" t="s">
        <v>206</v>
      </c>
      <c r="J115" s="237">
        <f>Egendom!CI90</f>
        <v>903.24324324324323</v>
      </c>
      <c r="K115" s="119" t="s">
        <v>380</v>
      </c>
      <c r="L115" s="267"/>
      <c r="M115" s="259"/>
      <c r="N115"/>
      <c r="O115"/>
      <c r="P115"/>
      <c r="Q115"/>
      <c r="R115"/>
      <c r="S115"/>
      <c r="T115"/>
      <c r="U115"/>
    </row>
    <row r="116" spans="1:57" s="5" customFormat="1" ht="21" x14ac:dyDescent="0.4">
      <c r="A116" s="884"/>
      <c r="B116" s="287"/>
      <c r="C116" s="274" t="s">
        <v>234</v>
      </c>
      <c r="D116" s="270"/>
      <c r="E116" s="262"/>
      <c r="F116" s="276">
        <f>IF('Gårdens info'!$D$13&gt;0,J116/'Gårdens info'!$D$13,0)</f>
        <v>3.6129729729729734</v>
      </c>
      <c r="G116" s="119" t="s">
        <v>57</v>
      </c>
      <c r="H116" s="502">
        <f>IF('Gårdens info'!$G$13&gt;0,F116/'Gårdens info'!$G$13,0)</f>
        <v>7.2259459459459466E-5</v>
      </c>
      <c r="I116" s="119" t="s">
        <v>206</v>
      </c>
      <c r="J116" s="237">
        <f>Egendom!DG90</f>
        <v>36.129729729729732</v>
      </c>
      <c r="K116" s="119" t="s">
        <v>380</v>
      </c>
      <c r="L116" s="267"/>
      <c r="M116" s="259"/>
    </row>
    <row r="117" spans="1:57" s="5" customFormat="1" ht="20.399999999999999" x14ac:dyDescent="0.35">
      <c r="A117" s="884"/>
      <c r="B117" s="289"/>
      <c r="C117" s="278" t="s">
        <v>54</v>
      </c>
      <c r="D117" s="279"/>
      <c r="E117" s="262"/>
      <c r="F117" s="280">
        <f>SUM(F113:F116)</f>
        <v>654.16252252252252</v>
      </c>
      <c r="G117" s="119" t="s">
        <v>57</v>
      </c>
      <c r="H117" s="509">
        <f t="shared" ref="H117:J117" si="12">SUM(H113:H116)</f>
        <v>1.3083250450450451E-2</v>
      </c>
      <c r="I117" s="119" t="s">
        <v>206</v>
      </c>
      <c r="J117" s="280">
        <f t="shared" si="12"/>
        <v>6541.6252252252252</v>
      </c>
      <c r="K117" s="119" t="s">
        <v>380</v>
      </c>
      <c r="L117" s="281"/>
      <c r="M117" s="259"/>
    </row>
    <row r="118" spans="1:57" s="5" customFormat="1" ht="21" x14ac:dyDescent="0.4">
      <c r="A118" s="884"/>
      <c r="B118" s="287"/>
      <c r="C118" s="274"/>
      <c r="D118" s="270"/>
      <c r="E118" s="262"/>
      <c r="F118" s="276"/>
      <c r="G118" s="119"/>
      <c r="H118" s="277"/>
      <c r="I118" s="119"/>
      <c r="J118" s="237"/>
      <c r="K118" s="119"/>
      <c r="L118" s="267"/>
      <c r="M118" s="259"/>
    </row>
    <row r="119" spans="1:57" s="5" customFormat="1" ht="21" x14ac:dyDescent="0.4">
      <c r="A119" s="884"/>
      <c r="B119" s="1084" t="s">
        <v>139</v>
      </c>
      <c r="C119" s="1085"/>
      <c r="D119" s="270"/>
      <c r="E119" s="262"/>
      <c r="F119" s="276"/>
      <c r="G119" s="119"/>
      <c r="H119" s="277"/>
      <c r="I119" s="119"/>
      <c r="J119" s="237"/>
      <c r="K119" s="119"/>
      <c r="L119" s="267"/>
      <c r="M119" s="259"/>
      <c r="AE119"/>
      <c r="AF119"/>
      <c r="AG119"/>
      <c r="AH119"/>
      <c r="AI119"/>
      <c r="AJ119"/>
      <c r="AK119"/>
      <c r="AL119"/>
      <c r="AM119"/>
      <c r="AN119"/>
      <c r="AO119"/>
      <c r="AP119"/>
      <c r="AQ119"/>
      <c r="AR119"/>
      <c r="AS119"/>
      <c r="AT119"/>
      <c r="AU119"/>
      <c r="AV119"/>
      <c r="AW119"/>
      <c r="AX119"/>
      <c r="AY119"/>
      <c r="AZ119"/>
      <c r="BA119"/>
      <c r="BB119"/>
      <c r="BC119"/>
      <c r="BD119"/>
      <c r="BE119"/>
    </row>
    <row r="120" spans="1:57" s="5" customFormat="1" ht="21" x14ac:dyDescent="0.4">
      <c r="A120" s="884"/>
      <c r="B120" s="287"/>
      <c r="C120" s="274" t="s">
        <v>229</v>
      </c>
      <c r="D120" s="270"/>
      <c r="E120" s="262"/>
      <c r="F120" s="276">
        <f>IF('Gårdens info'!$D$13&gt;0,J120/'Gårdens info'!$D$13,0)</f>
        <v>0</v>
      </c>
      <c r="G120" s="119" t="s">
        <v>57</v>
      </c>
      <c r="H120" s="502">
        <f>IF('Gårdens info'!$G$13&gt;0,F120/'Gårdens info'!$G$13,0)</f>
        <v>0</v>
      </c>
      <c r="I120" s="119" t="s">
        <v>206</v>
      </c>
      <c r="J120" s="237">
        <f>Egendom!AM93</f>
        <v>0</v>
      </c>
      <c r="K120" s="119" t="s">
        <v>380</v>
      </c>
      <c r="L120" s="267"/>
      <c r="M120" s="259"/>
    </row>
    <row r="121" spans="1:57" s="5" customFormat="1" ht="19.95" customHeight="1" x14ac:dyDescent="0.4">
      <c r="A121" s="884"/>
      <c r="B121" s="287"/>
      <c r="C121" s="274" t="s">
        <v>230</v>
      </c>
      <c r="D121" s="270"/>
      <c r="E121" s="262"/>
      <c r="F121" s="276">
        <f>IF('Gårdens info'!$D$13&gt;0,J121/'Gårdens info'!$D$13,0)</f>
        <v>0</v>
      </c>
      <c r="G121" s="119" t="s">
        <v>57</v>
      </c>
      <c r="H121" s="502">
        <f>IF('Gårdens info'!$G$13&gt;0,F121/'Gårdens info'!$G$13,0)</f>
        <v>0</v>
      </c>
      <c r="I121" s="119" t="s">
        <v>206</v>
      </c>
      <c r="J121" s="237">
        <f>Egendom!BK93</f>
        <v>0</v>
      </c>
      <c r="K121" s="119" t="s">
        <v>380</v>
      </c>
      <c r="L121" s="267"/>
      <c r="M121" s="259"/>
    </row>
    <row r="122" spans="1:57" s="5" customFormat="1" ht="17.399999999999999" customHeight="1" x14ac:dyDescent="0.3">
      <c r="A122" s="884"/>
      <c r="B122" s="287"/>
      <c r="C122" s="1083" t="s">
        <v>232</v>
      </c>
      <c r="D122" s="1083"/>
      <c r="E122" s="262"/>
      <c r="F122" s="276">
        <f>IF('Gårdens info'!$D$13&gt;0,J122/'Gårdens info'!$D$13,0)</f>
        <v>12.76595744680851</v>
      </c>
      <c r="G122" s="119" t="s">
        <v>57</v>
      </c>
      <c r="H122" s="502">
        <f>IF('Gårdens info'!$G$13&gt;0,F122/'Gårdens info'!$G$13,0)</f>
        <v>2.553191489361702E-4</v>
      </c>
      <c r="I122" s="119" t="s">
        <v>206</v>
      </c>
      <c r="J122" s="237">
        <f>Egendom!CI93</f>
        <v>127.65957446808511</v>
      </c>
      <c r="K122" s="119" t="s">
        <v>380</v>
      </c>
      <c r="L122" s="267"/>
      <c r="M122" s="259"/>
    </row>
    <row r="123" spans="1:57" s="5" customFormat="1" ht="15.6" x14ac:dyDescent="0.3">
      <c r="A123" s="884"/>
      <c r="B123" s="286"/>
      <c r="C123" s="261" t="s">
        <v>54</v>
      </c>
      <c r="D123" s="261"/>
      <c r="E123" s="261"/>
      <c r="F123" s="280">
        <f>SUM(F120:F122)</f>
        <v>12.76595744680851</v>
      </c>
      <c r="G123" s="119" t="s">
        <v>57</v>
      </c>
      <c r="H123" s="509">
        <f t="shared" ref="H123:J123" si="13">SUM(H120:H122)</f>
        <v>2.553191489361702E-4</v>
      </c>
      <c r="I123" s="119" t="s">
        <v>206</v>
      </c>
      <c r="J123" s="280">
        <f t="shared" si="13"/>
        <v>127.65957446808511</v>
      </c>
      <c r="K123" s="119" t="s">
        <v>380</v>
      </c>
      <c r="L123" s="284"/>
      <c r="M123" s="290"/>
    </row>
    <row r="124" spans="1:57" s="5" customFormat="1" ht="19.95" customHeight="1" x14ac:dyDescent="0.4">
      <c r="A124" s="884"/>
      <c r="B124" s="1061" t="s">
        <v>191</v>
      </c>
      <c r="C124" s="1043"/>
      <c r="D124" s="1043"/>
      <c r="E124" s="262"/>
      <c r="F124" s="266">
        <f>F103+F110+F117+F123</f>
        <v>1979.2818248035269</v>
      </c>
      <c r="G124" s="267" t="s">
        <v>57</v>
      </c>
      <c r="H124" s="507">
        <f>H103+H110+H117+H123</f>
        <v>3.9585636496070546E-2</v>
      </c>
      <c r="I124" s="267" t="s">
        <v>206</v>
      </c>
      <c r="J124" s="269">
        <f>J103+J110+J117+J123</f>
        <v>19792.81824803527</v>
      </c>
      <c r="K124" s="267" t="s">
        <v>380</v>
      </c>
      <c r="L124" s="267"/>
      <c r="M124" s="259"/>
    </row>
    <row r="125" spans="1:57" s="5" customFormat="1" ht="15.6" x14ac:dyDescent="0.3">
      <c r="A125" s="884"/>
      <c r="B125" s="286"/>
      <c r="C125" s="262"/>
      <c r="D125" s="262"/>
      <c r="E125" s="262"/>
      <c r="F125" s="263"/>
      <c r="G125" s="243"/>
      <c r="H125" s="264"/>
      <c r="I125" s="243"/>
      <c r="J125" s="258"/>
      <c r="K125" s="243"/>
      <c r="L125" s="265"/>
      <c r="M125" s="259"/>
    </row>
    <row r="126" spans="1:57" s="5" customFormat="1" ht="21" x14ac:dyDescent="0.4">
      <c r="A126" s="884"/>
      <c r="B126" s="257" t="s">
        <v>192</v>
      </c>
      <c r="C126" s="262"/>
      <c r="D126" s="262"/>
      <c r="E126" s="262"/>
      <c r="F126" s="263"/>
      <c r="G126" s="243"/>
      <c r="H126" s="264"/>
      <c r="I126" s="243"/>
      <c r="J126" s="258"/>
      <c r="K126" s="243"/>
      <c r="L126" s="265"/>
      <c r="M126" s="259"/>
    </row>
    <row r="127" spans="1:57" s="5" customFormat="1" ht="15" x14ac:dyDescent="0.25">
      <c r="A127" s="884"/>
      <c r="B127" s="235"/>
      <c r="C127" s="228" t="s">
        <v>192</v>
      </c>
      <c r="D127" s="236"/>
      <c r="E127" s="236"/>
      <c r="F127" s="237">
        <f>IF('Gårdens info'!D13&gt;0,H247,0)</f>
        <v>2972.5</v>
      </c>
      <c r="G127" s="119" t="s">
        <v>57</v>
      </c>
      <c r="H127" s="503">
        <f>IF('Gårdens info'!G13&gt;0,F127/'Gårdens info'!$G$13,0)</f>
        <v>5.9450000000000003E-2</v>
      </c>
      <c r="I127" s="119" t="s">
        <v>206</v>
      </c>
      <c r="J127" s="237">
        <f>F127*'Gårdens info'!D13</f>
        <v>29725</v>
      </c>
      <c r="K127" s="119" t="s">
        <v>380</v>
      </c>
      <c r="L127" s="236"/>
      <c r="M127" s="239"/>
    </row>
    <row r="128" spans="1:57" s="5" customFormat="1" ht="17.399999999999999" x14ac:dyDescent="0.3">
      <c r="A128" s="884"/>
      <c r="B128" s="248"/>
      <c r="C128" s="245"/>
      <c r="D128" s="249"/>
      <c r="E128" s="249"/>
      <c r="F128" s="250"/>
      <c r="G128" s="120"/>
      <c r="H128" s="249"/>
      <c r="I128" s="249"/>
      <c r="J128" s="249"/>
      <c r="K128" s="249"/>
      <c r="L128" s="249"/>
      <c r="M128" s="234"/>
    </row>
    <row r="129" spans="1:57" s="5" customFormat="1" ht="19.95" customHeight="1" x14ac:dyDescent="0.4">
      <c r="A129" s="884"/>
      <c r="B129" s="1061" t="s">
        <v>194</v>
      </c>
      <c r="C129" s="1043"/>
      <c r="D129" s="1043"/>
      <c r="E129" s="262"/>
      <c r="F129" s="266">
        <f>F127</f>
        <v>2972.5</v>
      </c>
      <c r="G129" s="267" t="s">
        <v>57</v>
      </c>
      <c r="H129" s="507">
        <f>H127</f>
        <v>5.9450000000000003E-2</v>
      </c>
      <c r="I129" s="267" t="s">
        <v>206</v>
      </c>
      <c r="J129" s="269">
        <f>J127</f>
        <v>29725</v>
      </c>
      <c r="K129" s="267" t="s">
        <v>380</v>
      </c>
      <c r="L129" s="267"/>
      <c r="M129" s="259"/>
    </row>
    <row r="130" spans="1:57" s="5" customFormat="1" ht="21" x14ac:dyDescent="0.4">
      <c r="A130" s="884"/>
      <c r="B130" s="288"/>
      <c r="C130" s="270"/>
      <c r="D130" s="270"/>
      <c r="E130" s="262"/>
      <c r="F130" s="266"/>
      <c r="G130" s="267"/>
      <c r="H130" s="507"/>
      <c r="I130" s="267"/>
      <c r="J130" s="269"/>
      <c r="K130" s="267"/>
      <c r="L130" s="267"/>
      <c r="M130" s="259"/>
    </row>
    <row r="131" spans="1:57" s="5" customFormat="1" ht="19.95" customHeight="1" x14ac:dyDescent="0.4">
      <c r="A131" s="884"/>
      <c r="B131" s="1061" t="s">
        <v>462</v>
      </c>
      <c r="C131" s="1043"/>
      <c r="D131" s="1043"/>
      <c r="E131" s="262"/>
      <c r="F131" s="266">
        <f>F95+F124+F129</f>
        <v>13556.367073030477</v>
      </c>
      <c r="G131" s="267" t="s">
        <v>57</v>
      </c>
      <c r="H131" s="573">
        <f>H95+H124+H129</f>
        <v>0.27112734146060957</v>
      </c>
      <c r="I131" s="267" t="s">
        <v>206</v>
      </c>
      <c r="J131" s="266">
        <f>J95+J124+J129</f>
        <v>135563.67073030479</v>
      </c>
      <c r="K131" s="267" t="s">
        <v>380</v>
      </c>
      <c r="L131" s="267"/>
      <c r="M131" s="259"/>
    </row>
    <row r="132" spans="1:57" s="5" customFormat="1" ht="21" x14ac:dyDescent="0.4">
      <c r="A132" s="884"/>
      <c r="B132" s="288"/>
      <c r="C132" s="270"/>
      <c r="D132" s="270"/>
      <c r="E132" s="262"/>
      <c r="F132" s="266"/>
      <c r="G132" s="267"/>
      <c r="H132" s="268"/>
      <c r="I132" s="267"/>
      <c r="J132" s="269"/>
      <c r="K132" s="267"/>
      <c r="L132" s="267"/>
      <c r="M132" s="259"/>
    </row>
    <row r="133" spans="1:57" s="5" customFormat="1" ht="21" customHeight="1" thickBot="1" x14ac:dyDescent="0.45">
      <c r="A133" s="884"/>
      <c r="B133" s="1059" t="s">
        <v>198</v>
      </c>
      <c r="C133" s="1060"/>
      <c r="D133" s="1060"/>
      <c r="E133" s="253"/>
      <c r="F133" s="292">
        <f>F78-F95-F124-F129</f>
        <v>24470.732926969526</v>
      </c>
      <c r="G133" s="293" t="s">
        <v>57</v>
      </c>
      <c r="H133" s="510">
        <f>H78-H95-H124-H129</f>
        <v>0.48941465853939037</v>
      </c>
      <c r="I133" s="293" t="s">
        <v>206</v>
      </c>
      <c r="J133" s="292">
        <f>J78-J95-J124-J129</f>
        <v>244707.32926969521</v>
      </c>
      <c r="K133" s="293" t="s">
        <v>380</v>
      </c>
      <c r="L133" s="293"/>
      <c r="M133" s="254"/>
    </row>
    <row r="134" spans="1:57" s="5" customFormat="1" ht="21" x14ac:dyDescent="0.4">
      <c r="A134" s="884"/>
      <c r="B134" s="55"/>
      <c r="C134"/>
      <c r="D134"/>
      <c r="E134"/>
      <c r="F134"/>
      <c r="G134"/>
      <c r="H134"/>
      <c r="I134"/>
      <c r="J134"/>
      <c r="K134"/>
      <c r="L134"/>
      <c r="M134"/>
    </row>
    <row r="135" spans="1:57" s="194" customFormat="1" ht="16.2" thickBot="1" x14ac:dyDescent="0.35">
      <c r="A135" s="888"/>
      <c r="B135"/>
      <c r="C135"/>
      <c r="D135"/>
      <c r="E135"/>
      <c r="F135"/>
      <c r="G135"/>
      <c r="H135"/>
      <c r="I135"/>
      <c r="J135"/>
      <c r="K135"/>
      <c r="L135"/>
      <c r="M135"/>
      <c r="N135" s="5"/>
      <c r="O135" s="5"/>
      <c r="P135" s="5"/>
      <c r="Q135" s="5"/>
      <c r="R135" s="5"/>
      <c r="S135" s="5"/>
      <c r="T135" s="5"/>
      <c r="U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row>
    <row r="136" spans="1:57" s="5" customFormat="1" ht="21" customHeight="1" thickBot="1" x14ac:dyDescent="0.45">
      <c r="A136" s="884"/>
      <c r="B136" s="1078" t="s">
        <v>471</v>
      </c>
      <c r="C136" s="1079"/>
      <c r="D136" s="1079"/>
      <c r="E136" s="1080"/>
      <c r="F136"/>
      <c r="G136"/>
      <c r="H136"/>
      <c r="I136"/>
      <c r="J136"/>
      <c r="K136"/>
      <c r="L136" s="1099" t="s">
        <v>241</v>
      </c>
      <c r="M136" s="1099"/>
    </row>
    <row r="137" spans="1:57" s="5" customFormat="1" ht="21" x14ac:dyDescent="0.4">
      <c r="A137" s="884"/>
      <c r="B137" s="334"/>
      <c r="C137" s="334"/>
      <c r="D137" s="334"/>
      <c r="E137" s="334"/>
      <c r="F137" s="116"/>
      <c r="G137" s="116"/>
      <c r="H137" s="116"/>
      <c r="I137" s="116"/>
      <c r="J137" s="116"/>
      <c r="K137" s="116"/>
      <c r="L137" s="461"/>
      <c r="M137" s="461"/>
    </row>
    <row r="138" spans="1:57" ht="15.6" x14ac:dyDescent="0.3">
      <c r="B138" s="89" t="s">
        <v>242</v>
      </c>
      <c r="C138" s="44"/>
      <c r="D138" s="44"/>
      <c r="E138" s="44"/>
      <c r="F138" s="1077" t="s">
        <v>114</v>
      </c>
      <c r="G138" s="1077"/>
      <c r="H138" s="1077" t="s">
        <v>113</v>
      </c>
      <c r="I138" s="1077"/>
      <c r="J138" s="1077" t="s">
        <v>243</v>
      </c>
      <c r="K138" s="1077"/>
      <c r="L138" s="111" t="s">
        <v>244</v>
      </c>
      <c r="M138" s="46"/>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row>
    <row r="139" spans="1:57" ht="13.8" thickBot="1" x14ac:dyDescent="0.3">
      <c r="B139" s="48"/>
      <c r="C139" s="44"/>
      <c r="D139" s="44"/>
      <c r="E139" s="44"/>
      <c r="F139" s="44"/>
      <c r="G139" s="44"/>
      <c r="H139" s="44"/>
      <c r="I139" s="44"/>
      <c r="J139" s="46"/>
      <c r="K139" s="46"/>
      <c r="L139" s="46"/>
      <c r="M139" s="46"/>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row>
    <row r="140" spans="1:57" ht="13.8" thickBot="1" x14ac:dyDescent="0.3">
      <c r="B140" s="44"/>
      <c r="C140" s="45" t="s">
        <v>472</v>
      </c>
      <c r="D140" s="46"/>
      <c r="E140" s="44"/>
      <c r="F140" s="74">
        <v>30000</v>
      </c>
      <c r="G140" s="44" t="s">
        <v>357</v>
      </c>
      <c r="H140" s="74">
        <v>4.4999999999999998E-2</v>
      </c>
      <c r="I140" s="49" t="s">
        <v>246</v>
      </c>
      <c r="J140" s="191">
        <f>F140*H140</f>
        <v>1350</v>
      </c>
      <c r="K140" s="44" t="s">
        <v>57</v>
      </c>
      <c r="L140" s="44"/>
      <c r="M140" s="46"/>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row>
    <row r="141" spans="1:57" s="5" customFormat="1" ht="15.6" x14ac:dyDescent="0.3">
      <c r="A141" s="884"/>
      <c r="B141" s="50"/>
      <c r="C141" s="50" t="s">
        <v>54</v>
      </c>
      <c r="D141" s="466"/>
      <c r="E141" s="50"/>
      <c r="F141" s="218"/>
      <c r="G141" s="50"/>
      <c r="H141" s="467"/>
      <c r="I141" s="219"/>
      <c r="J141" s="220"/>
      <c r="K141" s="50"/>
      <c r="L141" s="50"/>
      <c r="M141" s="50"/>
      <c r="AE141" s="194"/>
      <c r="AF141" s="194"/>
      <c r="AG141" s="194"/>
      <c r="AH141" s="194"/>
      <c r="AI141" s="194"/>
      <c r="AJ141" s="194"/>
      <c r="AK141" s="194"/>
      <c r="AL141" s="194"/>
      <c r="AM141" s="194"/>
      <c r="AN141" s="194"/>
      <c r="AO141" s="194"/>
      <c r="AP141" s="194"/>
      <c r="AQ141" s="194"/>
      <c r="AR141" s="194"/>
      <c r="AS141" s="194"/>
      <c r="AT141" s="194"/>
      <c r="AU141" s="194"/>
      <c r="AV141" s="194"/>
      <c r="AW141" s="194"/>
      <c r="AX141" s="194"/>
      <c r="AY141" s="194"/>
      <c r="AZ141" s="194"/>
      <c r="BA141" s="194"/>
      <c r="BB141" s="194"/>
      <c r="BC141" s="194"/>
      <c r="BD141" s="194"/>
      <c r="BE141" s="194"/>
    </row>
    <row r="142" spans="1:57" x14ac:dyDescent="0.25">
      <c r="B142" s="435"/>
      <c r="C142" s="435"/>
      <c r="D142" s="464"/>
      <c r="E142" s="435"/>
      <c r="F142" s="465"/>
      <c r="G142" s="435"/>
      <c r="H142" s="246"/>
      <c r="I142" s="437"/>
      <c r="J142" s="232"/>
      <c r="K142" s="435"/>
      <c r="L142" s="116"/>
      <c r="M142" s="116"/>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row>
    <row r="143" spans="1:57" s="5" customFormat="1" ht="15.6" x14ac:dyDescent="0.3">
      <c r="A143" s="884"/>
      <c r="B143" s="96" t="s">
        <v>247</v>
      </c>
      <c r="C143" s="97"/>
      <c r="D143" s="97"/>
      <c r="E143" s="97"/>
      <c r="F143" s="1074" t="s">
        <v>114</v>
      </c>
      <c r="G143" s="1074"/>
      <c r="H143" s="1074" t="s">
        <v>113</v>
      </c>
      <c r="I143" s="1074"/>
      <c r="J143" s="1074" t="s">
        <v>243</v>
      </c>
      <c r="K143" s="1074"/>
      <c r="L143" s="99"/>
      <c r="M143" s="99"/>
    </row>
    <row r="144" spans="1:57" s="56" customFormat="1" ht="18" thickBot="1" x14ac:dyDescent="0.35">
      <c r="A144" s="886"/>
      <c r="B144" s="97"/>
      <c r="C144" s="97"/>
      <c r="D144" s="97"/>
      <c r="E144" s="97"/>
      <c r="F144" s="97"/>
      <c r="G144" s="97"/>
      <c r="H144" s="98"/>
      <c r="I144" s="98"/>
      <c r="J144" s="99"/>
      <c r="K144" s="99"/>
      <c r="L144" s="99"/>
      <c r="M144" s="99"/>
      <c r="N144" s="5"/>
      <c r="O144" s="5"/>
      <c r="P144" s="5"/>
      <c r="Q144" s="5"/>
      <c r="R144" s="5"/>
      <c r="S144" s="5"/>
      <c r="T144" s="5"/>
      <c r="U144" s="5"/>
      <c r="AE144"/>
      <c r="AF144"/>
      <c r="AG144"/>
      <c r="AH144"/>
      <c r="AI144"/>
      <c r="AJ144"/>
      <c r="AK144"/>
      <c r="AL144"/>
      <c r="AM144"/>
      <c r="AN144"/>
      <c r="AO144"/>
      <c r="AP144"/>
      <c r="AQ144"/>
      <c r="AR144"/>
      <c r="AS144"/>
      <c r="AT144"/>
      <c r="AU144"/>
      <c r="AV144"/>
      <c r="AW144"/>
      <c r="AX144"/>
      <c r="AY144"/>
      <c r="AZ144"/>
      <c r="BA144"/>
      <c r="BB144"/>
      <c r="BC144"/>
      <c r="BD144"/>
      <c r="BE144"/>
    </row>
    <row r="145" spans="1:57" s="69" customFormat="1" ht="15.6" thickBot="1" x14ac:dyDescent="0.3">
      <c r="A145" s="885"/>
      <c r="B145" s="97"/>
      <c r="C145" s="97" t="s">
        <v>391</v>
      </c>
      <c r="D145" s="99"/>
      <c r="E145" s="97"/>
      <c r="F145" s="94">
        <v>800</v>
      </c>
      <c r="G145" s="97" t="s">
        <v>212</v>
      </c>
      <c r="H145" s="77">
        <v>0.75</v>
      </c>
      <c r="I145" s="98" t="s">
        <v>206</v>
      </c>
      <c r="J145" s="100">
        <f>F145*H145</f>
        <v>600</v>
      </c>
      <c r="K145" s="97" t="s">
        <v>57</v>
      </c>
      <c r="L145" s="99"/>
      <c r="M145" s="99"/>
      <c r="N145" s="5"/>
      <c r="O145" s="5"/>
      <c r="P145" s="5"/>
      <c r="Q145" s="5"/>
      <c r="R145" s="5"/>
      <c r="S145" s="5"/>
      <c r="T145" s="5"/>
      <c r="U145" s="5"/>
      <c r="AE145"/>
      <c r="AF145"/>
      <c r="AG145"/>
      <c r="AH145"/>
      <c r="AI145"/>
      <c r="AJ145"/>
      <c r="AK145"/>
      <c r="AL145"/>
      <c r="AM145"/>
      <c r="AN145"/>
      <c r="AO145"/>
      <c r="AP145"/>
      <c r="AQ145"/>
      <c r="AR145"/>
      <c r="AS145"/>
      <c r="AT145"/>
      <c r="AU145"/>
      <c r="AV145"/>
      <c r="AW145"/>
      <c r="AX145"/>
      <c r="AY145"/>
      <c r="AZ145"/>
      <c r="BA145"/>
      <c r="BB145"/>
      <c r="BC145"/>
      <c r="BD145"/>
      <c r="BE145"/>
    </row>
    <row r="146" spans="1:57" s="56" customFormat="1" ht="18" thickBot="1" x14ac:dyDescent="0.35">
      <c r="A146" s="886"/>
      <c r="B146" s="97"/>
      <c r="C146" s="97" t="s">
        <v>360</v>
      </c>
      <c r="D146" s="99"/>
      <c r="E146" s="97"/>
      <c r="F146" s="74">
        <v>500</v>
      </c>
      <c r="G146" s="97" t="s">
        <v>212</v>
      </c>
      <c r="H146" s="77">
        <v>0.4</v>
      </c>
      <c r="I146" s="98" t="s">
        <v>206</v>
      </c>
      <c r="J146" s="100">
        <f t="shared" ref="J146:J149" si="14">F146*H146</f>
        <v>200</v>
      </c>
      <c r="K146" s="97" t="s">
        <v>57</v>
      </c>
      <c r="L146" s="99"/>
      <c r="M146" s="99"/>
      <c r="N146" s="69"/>
      <c r="O146" s="69"/>
      <c r="P146" s="69"/>
      <c r="Q146" s="69"/>
      <c r="R146" s="69"/>
      <c r="S146" s="69"/>
      <c r="T146" s="69"/>
      <c r="U146" s="69"/>
      <c r="AE146"/>
      <c r="AF146"/>
      <c r="AG146"/>
      <c r="AH146"/>
      <c r="AI146"/>
      <c r="AJ146"/>
      <c r="AK146"/>
      <c r="AL146"/>
      <c r="AM146"/>
      <c r="AN146"/>
      <c r="AO146"/>
      <c r="AP146"/>
      <c r="AQ146"/>
      <c r="AR146"/>
      <c r="AS146"/>
      <c r="AT146"/>
      <c r="AU146"/>
      <c r="AV146"/>
      <c r="AW146"/>
      <c r="AX146"/>
      <c r="AY146"/>
      <c r="AZ146"/>
      <c r="BA146"/>
      <c r="BB146"/>
      <c r="BC146"/>
      <c r="BD146"/>
      <c r="BE146"/>
    </row>
    <row r="147" spans="1:57" s="69" customFormat="1" ht="15.6" thickBot="1" x14ac:dyDescent="0.3">
      <c r="A147" s="885"/>
      <c r="B147" s="97"/>
      <c r="C147" s="97" t="s">
        <v>361</v>
      </c>
      <c r="D147" s="99"/>
      <c r="E147" s="97"/>
      <c r="F147" s="74">
        <v>2000</v>
      </c>
      <c r="G147" s="97" t="s">
        <v>212</v>
      </c>
      <c r="H147" s="77">
        <v>0.46</v>
      </c>
      <c r="I147" s="98" t="s">
        <v>206</v>
      </c>
      <c r="J147" s="100">
        <f t="shared" si="14"/>
        <v>920</v>
      </c>
      <c r="K147" s="97" t="s">
        <v>57</v>
      </c>
      <c r="L147" s="99"/>
      <c r="M147" s="99"/>
      <c r="N147" s="5"/>
      <c r="O147" s="5"/>
      <c r="P147" s="5"/>
      <c r="Q147" s="5"/>
      <c r="R147" s="5"/>
      <c r="S147" s="5"/>
      <c r="T147" s="5"/>
      <c r="U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row>
    <row r="148" spans="1:57" s="56" customFormat="1" ht="18" thickBot="1" x14ac:dyDescent="0.35">
      <c r="A148" s="886"/>
      <c r="B148" s="97"/>
      <c r="C148" s="97" t="s">
        <v>251</v>
      </c>
      <c r="D148" s="97"/>
      <c r="E148" s="97"/>
      <c r="F148" s="74"/>
      <c r="G148" s="97" t="s">
        <v>212</v>
      </c>
      <c r="H148" s="77"/>
      <c r="I148" s="98" t="s">
        <v>206</v>
      </c>
      <c r="J148" s="100">
        <f t="shared" si="14"/>
        <v>0</v>
      </c>
      <c r="K148" s="97" t="s">
        <v>57</v>
      </c>
      <c r="L148" s="99"/>
      <c r="M148" s="99"/>
      <c r="AE148"/>
      <c r="AF148"/>
      <c r="AG148"/>
      <c r="AH148"/>
      <c r="AI148"/>
      <c r="AJ148"/>
      <c r="AK148"/>
      <c r="AL148"/>
      <c r="AM148"/>
      <c r="AN148"/>
      <c r="AO148"/>
      <c r="AP148"/>
      <c r="AQ148"/>
      <c r="AR148"/>
      <c r="AS148"/>
      <c r="AT148"/>
      <c r="AU148"/>
      <c r="AV148"/>
      <c r="AW148"/>
      <c r="AX148"/>
      <c r="AY148"/>
      <c r="AZ148"/>
      <c r="BA148"/>
      <c r="BB148"/>
      <c r="BC148"/>
      <c r="BD148"/>
      <c r="BE148"/>
    </row>
    <row r="149" spans="1:57" ht="15.6" thickBot="1" x14ac:dyDescent="0.3">
      <c r="B149" s="97"/>
      <c r="C149" s="97" t="s">
        <v>251</v>
      </c>
      <c r="D149" s="97"/>
      <c r="E149" s="97"/>
      <c r="F149" s="74"/>
      <c r="G149" s="97" t="s">
        <v>212</v>
      </c>
      <c r="H149" s="77"/>
      <c r="I149" s="98" t="s">
        <v>206</v>
      </c>
      <c r="J149" s="100">
        <f t="shared" si="14"/>
        <v>0</v>
      </c>
      <c r="K149" s="97" t="s">
        <v>57</v>
      </c>
      <c r="L149" s="99"/>
      <c r="M149" s="99"/>
      <c r="N149" s="69"/>
      <c r="O149" s="69"/>
      <c r="P149" s="69"/>
      <c r="Q149" s="69"/>
      <c r="R149" s="69"/>
      <c r="S149" s="69"/>
      <c r="T149" s="69"/>
      <c r="U149" s="69"/>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row>
    <row r="150" spans="1:57" s="69" customFormat="1" ht="17.399999999999999" x14ac:dyDescent="0.3">
      <c r="A150" s="885"/>
      <c r="B150" s="214"/>
      <c r="C150" s="214" t="s">
        <v>54</v>
      </c>
      <c r="D150" s="214"/>
      <c r="E150" s="214"/>
      <c r="F150" s="214"/>
      <c r="G150" s="214"/>
      <c r="H150" s="214"/>
      <c r="I150" s="215"/>
      <c r="J150" s="216">
        <f>SUM(J145:J149)</f>
        <v>1720</v>
      </c>
      <c r="K150" s="214" t="s">
        <v>57</v>
      </c>
      <c r="L150" s="214"/>
      <c r="M150" s="214"/>
      <c r="N150" s="56"/>
      <c r="O150" s="56"/>
      <c r="P150" s="56"/>
      <c r="Q150" s="56"/>
      <c r="R150" s="56"/>
      <c r="S150" s="56"/>
      <c r="T150" s="56"/>
      <c r="U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row>
    <row r="151" spans="1:57" s="5" customFormat="1" ht="15" x14ac:dyDescent="0.25">
      <c r="A151" s="884"/>
      <c r="B151" s="97"/>
      <c r="C151" s="97"/>
      <c r="D151" s="97"/>
      <c r="E151" s="97"/>
      <c r="F151" s="97"/>
      <c r="G151" s="97"/>
      <c r="H151" s="97"/>
      <c r="I151" s="98"/>
      <c r="J151" s="100"/>
      <c r="K151" s="97"/>
      <c r="L151" s="99"/>
      <c r="M151" s="99"/>
      <c r="N151"/>
      <c r="O151"/>
      <c r="P151"/>
      <c r="Q151"/>
      <c r="R151"/>
      <c r="S151"/>
      <c r="T151"/>
      <c r="U151"/>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row>
    <row r="152" spans="1:57" s="5" customFormat="1" ht="17.399999999999999" x14ac:dyDescent="0.3">
      <c r="A152" s="884"/>
      <c r="B152"/>
      <c r="C152"/>
      <c r="D152"/>
      <c r="E152"/>
      <c r="F152"/>
      <c r="G152"/>
      <c r="H152"/>
      <c r="I152"/>
      <c r="J152"/>
      <c r="K152"/>
      <c r="L152"/>
      <c r="M152"/>
      <c r="N152" s="69"/>
      <c r="O152" s="69"/>
      <c r="P152" s="69"/>
      <c r="Q152" s="69"/>
      <c r="R152" s="69"/>
      <c r="S152" s="69"/>
      <c r="T152" s="69"/>
      <c r="U152" s="69"/>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row>
    <row r="153" spans="1:57" s="5" customFormat="1" ht="15.6" x14ac:dyDescent="0.3">
      <c r="A153" s="884"/>
      <c r="B153" s="85" t="s">
        <v>252</v>
      </c>
      <c r="C153" s="51"/>
      <c r="D153" s="51"/>
      <c r="E153" s="51"/>
      <c r="F153" s="1075" t="s">
        <v>114</v>
      </c>
      <c r="G153" s="1075"/>
      <c r="H153" s="1076" t="s">
        <v>113</v>
      </c>
      <c r="I153" s="1076"/>
      <c r="J153" s="1075" t="s">
        <v>243</v>
      </c>
      <c r="K153" s="1075"/>
      <c r="L153" s="58"/>
      <c r="M153" s="58"/>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row>
    <row r="154" spans="1:57" ht="17.399999999999999" x14ac:dyDescent="0.3">
      <c r="B154" s="51"/>
      <c r="C154" s="51"/>
      <c r="D154" s="51"/>
      <c r="E154" s="51"/>
      <c r="F154" s="53"/>
      <c r="G154" s="53"/>
      <c r="H154" s="52"/>
      <c r="I154" s="52"/>
      <c r="J154" s="52"/>
      <c r="K154" s="58"/>
      <c r="L154" s="58"/>
      <c r="M154" s="58"/>
      <c r="N154" s="5"/>
      <c r="O154" s="5"/>
      <c r="P154" s="5"/>
      <c r="Q154" s="5"/>
      <c r="R154" s="5"/>
      <c r="S154" s="5"/>
      <c r="T154" s="5"/>
      <c r="U154" s="5"/>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row>
    <row r="155" spans="1:57" ht="15.6" x14ac:dyDescent="0.3">
      <c r="B155" s="85"/>
      <c r="C155" s="51"/>
      <c r="D155" s="387" t="s">
        <v>253</v>
      </c>
      <c r="E155" s="51"/>
      <c r="F155" s="59"/>
      <c r="G155" s="59"/>
      <c r="H155" s="60"/>
      <c r="I155" s="60"/>
      <c r="J155" s="59"/>
      <c r="K155" s="59"/>
      <c r="L155" s="58"/>
      <c r="M155" s="58"/>
    </row>
    <row r="156" spans="1:57" ht="15.6" thickBot="1" x14ac:dyDescent="0.3">
      <c r="B156" s="171" t="s">
        <v>254</v>
      </c>
      <c r="C156" s="51"/>
      <c r="D156" s="51"/>
      <c r="E156" s="51"/>
      <c r="F156" s="53"/>
      <c r="G156" s="53"/>
      <c r="H156" s="52"/>
      <c r="I156" s="52"/>
      <c r="J156" s="58"/>
      <c r="K156" s="58"/>
      <c r="L156" s="58"/>
      <c r="M156" s="58"/>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row>
    <row r="157" spans="1:57" ht="13.8" thickBot="1" x14ac:dyDescent="0.3">
      <c r="B157" s="51"/>
      <c r="C157" s="51" t="s">
        <v>392</v>
      </c>
      <c r="D157" s="58"/>
      <c r="E157" s="51"/>
      <c r="F157" s="95">
        <v>2</v>
      </c>
      <c r="G157" s="53" t="s">
        <v>256</v>
      </c>
      <c r="H157" s="77">
        <v>18.8</v>
      </c>
      <c r="I157" s="52" t="s">
        <v>257</v>
      </c>
      <c r="J157" s="58">
        <f>F157*H157</f>
        <v>37.6</v>
      </c>
      <c r="K157" s="51" t="s">
        <v>57</v>
      </c>
      <c r="L157" s="58"/>
      <c r="M157" s="58"/>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row>
    <row r="158" spans="1:57" ht="13.8" thickBot="1" x14ac:dyDescent="0.3">
      <c r="B158" s="51"/>
      <c r="C158" s="51" t="s">
        <v>393</v>
      </c>
      <c r="D158" s="58"/>
      <c r="E158" s="51"/>
      <c r="F158" s="77">
        <v>2</v>
      </c>
      <c r="G158" s="53" t="s">
        <v>212</v>
      </c>
      <c r="H158" s="77">
        <v>295</v>
      </c>
      <c r="I158" s="52" t="s">
        <v>206</v>
      </c>
      <c r="J158" s="58">
        <f t="shared" ref="J158:J162" si="15">F158*H158</f>
        <v>590</v>
      </c>
      <c r="K158" s="51" t="s">
        <v>57</v>
      </c>
      <c r="L158" s="58"/>
      <c r="M158" s="58"/>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row>
    <row r="159" spans="1:57" ht="13.8" thickBot="1" x14ac:dyDescent="0.3">
      <c r="B159" s="51"/>
      <c r="C159" s="51" t="s">
        <v>394</v>
      </c>
      <c r="D159" s="58"/>
      <c r="E159" s="51"/>
      <c r="F159" s="95">
        <v>1.5</v>
      </c>
      <c r="G159" s="53" t="s">
        <v>256</v>
      </c>
      <c r="H159" s="77">
        <v>63</v>
      </c>
      <c r="I159" s="52" t="s">
        <v>257</v>
      </c>
      <c r="J159" s="58">
        <f t="shared" si="15"/>
        <v>94.5</v>
      </c>
      <c r="K159" s="51" t="s">
        <v>57</v>
      </c>
      <c r="L159" s="58"/>
      <c r="M159" s="58"/>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row>
    <row r="160" spans="1:57" ht="13.8" thickBot="1" x14ac:dyDescent="0.3">
      <c r="B160" s="51"/>
      <c r="C160" s="51" t="s">
        <v>395</v>
      </c>
      <c r="D160" s="58"/>
      <c r="E160" s="51"/>
      <c r="F160" s="95"/>
      <c r="G160" s="53" t="s">
        <v>256</v>
      </c>
      <c r="H160" s="77"/>
      <c r="I160" s="52" t="s">
        <v>257</v>
      </c>
      <c r="J160" s="58">
        <f t="shared" si="15"/>
        <v>0</v>
      </c>
      <c r="K160" s="51" t="s">
        <v>57</v>
      </c>
      <c r="L160" s="58"/>
      <c r="M160" s="58"/>
    </row>
    <row r="161" spans="1:57" ht="13.8" thickBot="1" x14ac:dyDescent="0.3">
      <c r="B161" s="51"/>
      <c r="C161" s="51" t="s">
        <v>265</v>
      </c>
      <c r="D161" s="51"/>
      <c r="E161" s="51"/>
      <c r="F161" s="95"/>
      <c r="G161" s="53" t="s">
        <v>256</v>
      </c>
      <c r="H161" s="77"/>
      <c r="I161" s="52" t="s">
        <v>257</v>
      </c>
      <c r="J161" s="58">
        <f t="shared" si="15"/>
        <v>0</v>
      </c>
      <c r="K161" s="51" t="s">
        <v>57</v>
      </c>
      <c r="L161" s="58"/>
      <c r="M161" s="58"/>
    </row>
    <row r="162" spans="1:57" ht="13.8" thickBot="1" x14ac:dyDescent="0.3">
      <c r="B162" s="51"/>
      <c r="C162" s="51" t="s">
        <v>265</v>
      </c>
      <c r="D162" s="51"/>
      <c r="E162" s="51"/>
      <c r="F162" s="95"/>
      <c r="G162" s="53" t="s">
        <v>256</v>
      </c>
      <c r="H162" s="77"/>
      <c r="I162" s="52" t="s">
        <v>257</v>
      </c>
      <c r="J162" s="58">
        <f t="shared" si="15"/>
        <v>0</v>
      </c>
      <c r="K162" s="51" t="s">
        <v>57</v>
      </c>
      <c r="L162" s="58"/>
      <c r="M162" s="58"/>
    </row>
    <row r="163" spans="1:57" x14ac:dyDescent="0.25">
      <c r="B163" s="51"/>
      <c r="C163" s="51"/>
      <c r="D163" s="51"/>
      <c r="E163" s="51"/>
      <c r="F163" s="53"/>
      <c r="G163" s="53"/>
      <c r="H163" s="52"/>
      <c r="I163" s="52"/>
      <c r="J163" s="58"/>
      <c r="K163" s="51"/>
      <c r="L163" s="58"/>
      <c r="M163" s="58"/>
    </row>
    <row r="164" spans="1:57" ht="13.8" thickBot="1" x14ac:dyDescent="0.3">
      <c r="B164" s="171" t="s">
        <v>266</v>
      </c>
      <c r="C164" s="51"/>
      <c r="D164" s="51"/>
      <c r="E164" s="51"/>
      <c r="F164" s="53"/>
      <c r="G164" s="53"/>
      <c r="H164" s="52"/>
      <c r="I164" s="52"/>
      <c r="J164" s="58"/>
      <c r="K164" s="51"/>
      <c r="L164" s="58"/>
      <c r="M164" s="58"/>
    </row>
    <row r="165" spans="1:57" ht="13.8" thickBot="1" x14ac:dyDescent="0.3">
      <c r="B165" s="51"/>
      <c r="C165" s="51" t="s">
        <v>267</v>
      </c>
      <c r="D165" s="51"/>
      <c r="E165" s="51"/>
      <c r="F165" s="95"/>
      <c r="G165" s="53" t="s">
        <v>256</v>
      </c>
      <c r="H165" s="95"/>
      <c r="I165" s="52" t="s">
        <v>257</v>
      </c>
      <c r="J165" s="58">
        <f t="shared" ref="J165:J168" si="16">F165*H165</f>
        <v>0</v>
      </c>
      <c r="K165" s="51" t="s">
        <v>57</v>
      </c>
      <c r="L165" s="58"/>
      <c r="M165" s="58"/>
    </row>
    <row r="166" spans="1:57" ht="13.8" thickBot="1" x14ac:dyDescent="0.3">
      <c r="B166" s="51"/>
      <c r="C166" s="51" t="s">
        <v>267</v>
      </c>
      <c r="D166" s="51"/>
      <c r="E166" s="51"/>
      <c r="F166" s="95"/>
      <c r="G166" s="53" t="s">
        <v>256</v>
      </c>
      <c r="H166" s="95"/>
      <c r="I166" s="52" t="s">
        <v>257</v>
      </c>
      <c r="J166" s="58">
        <f t="shared" si="16"/>
        <v>0</v>
      </c>
      <c r="K166" s="51" t="s">
        <v>57</v>
      </c>
      <c r="L166" s="58"/>
      <c r="M166" s="58"/>
    </row>
    <row r="167" spans="1:57" ht="13.8" thickBot="1" x14ac:dyDescent="0.3">
      <c r="B167" s="51"/>
      <c r="C167" s="51" t="s">
        <v>267</v>
      </c>
      <c r="D167" s="51"/>
      <c r="E167" s="51"/>
      <c r="F167" s="95"/>
      <c r="G167" s="53" t="s">
        <v>256</v>
      </c>
      <c r="H167" s="95"/>
      <c r="I167" s="52" t="s">
        <v>257</v>
      </c>
      <c r="J167" s="58">
        <f t="shared" si="16"/>
        <v>0</v>
      </c>
      <c r="K167" s="51" t="s">
        <v>57</v>
      </c>
      <c r="L167" s="58"/>
      <c r="M167" s="58"/>
    </row>
    <row r="168" spans="1:57" ht="13.8" thickBot="1" x14ac:dyDescent="0.3">
      <c r="B168" s="51"/>
      <c r="C168" s="51" t="s">
        <v>267</v>
      </c>
      <c r="D168" s="51"/>
      <c r="E168" s="51"/>
      <c r="F168" s="95"/>
      <c r="G168" s="53" t="s">
        <v>256</v>
      </c>
      <c r="H168" s="95"/>
      <c r="I168" s="52" t="s">
        <v>257</v>
      </c>
      <c r="J168" s="58">
        <f t="shared" si="16"/>
        <v>0</v>
      </c>
      <c r="K168" s="51" t="s">
        <v>57</v>
      </c>
      <c r="L168" s="58"/>
      <c r="M168" s="58"/>
    </row>
    <row r="169" spans="1:57" s="5" customFormat="1" x14ac:dyDescent="0.25">
      <c r="A169" s="884"/>
      <c r="B169" s="195"/>
      <c r="C169" s="195" t="s">
        <v>54</v>
      </c>
      <c r="D169" s="195"/>
      <c r="E169" s="195"/>
      <c r="F169" s="196"/>
      <c r="G169" s="196"/>
      <c r="H169" s="196"/>
      <c r="I169" s="197"/>
      <c r="J169" s="197">
        <f>SUM(J157:J168)</f>
        <v>722.1</v>
      </c>
      <c r="K169" s="195" t="s">
        <v>57</v>
      </c>
      <c r="L169" s="195"/>
      <c r="M169" s="195"/>
      <c r="AE169"/>
      <c r="AF169"/>
      <c r="AG169"/>
      <c r="AH169"/>
      <c r="AI169"/>
      <c r="AJ169"/>
      <c r="AK169"/>
      <c r="AL169"/>
      <c r="AM169"/>
      <c r="AN169"/>
      <c r="AO169"/>
      <c r="AP169"/>
      <c r="AQ169"/>
      <c r="AR169"/>
      <c r="AS169"/>
      <c r="AT169"/>
      <c r="AU169"/>
      <c r="AV169"/>
      <c r="AW169"/>
      <c r="AX169"/>
      <c r="AY169"/>
      <c r="AZ169"/>
      <c r="BA169"/>
      <c r="BB169"/>
      <c r="BC169"/>
      <c r="BD169"/>
      <c r="BE169"/>
    </row>
    <row r="170" spans="1:57" x14ac:dyDescent="0.25">
      <c r="B170" s="51"/>
      <c r="C170" s="51"/>
      <c r="D170" s="51"/>
      <c r="E170" s="51"/>
      <c r="F170" s="53"/>
      <c r="G170" s="53"/>
      <c r="H170" s="52"/>
      <c r="I170" s="52"/>
      <c r="J170" s="58"/>
      <c r="K170" s="51"/>
      <c r="L170" s="58"/>
      <c r="M170" s="58"/>
    </row>
    <row r="171" spans="1:57" x14ac:dyDescent="0.25">
      <c r="A171" s="889"/>
    </row>
    <row r="172" spans="1:57" ht="15.6" x14ac:dyDescent="0.3">
      <c r="A172" s="889"/>
      <c r="B172" s="86" t="s">
        <v>268</v>
      </c>
      <c r="C172" s="61"/>
      <c r="D172" s="61"/>
      <c r="E172" s="61"/>
      <c r="F172" s="1071" t="s">
        <v>114</v>
      </c>
      <c r="G172" s="1071"/>
      <c r="H172" s="1071" t="s">
        <v>113</v>
      </c>
      <c r="I172" s="1071"/>
      <c r="J172" s="1071" t="s">
        <v>243</v>
      </c>
      <c r="K172" s="1071"/>
      <c r="L172" s="63"/>
      <c r="M172" s="63"/>
    </row>
    <row r="173" spans="1:57" ht="13.8" thickBot="1" x14ac:dyDescent="0.3">
      <c r="A173" s="889"/>
      <c r="B173" s="61"/>
      <c r="C173" s="61"/>
      <c r="D173" s="61"/>
      <c r="E173" s="61"/>
      <c r="F173" s="61"/>
      <c r="G173" s="61"/>
      <c r="H173" s="62"/>
      <c r="I173" s="62"/>
      <c r="J173" s="63"/>
      <c r="K173" s="63"/>
      <c r="L173" s="63"/>
      <c r="M173" s="63"/>
    </row>
    <row r="174" spans="1:57" ht="13.8" thickBot="1" x14ac:dyDescent="0.3">
      <c r="A174" s="889"/>
      <c r="B174" s="61"/>
      <c r="C174" s="61" t="s">
        <v>368</v>
      </c>
      <c r="D174" s="63"/>
      <c r="E174" s="61"/>
      <c r="F174" s="388">
        <f>S77*'Gårdens info'!$G$13/1</f>
        <v>0</v>
      </c>
      <c r="G174" s="61" t="s">
        <v>31</v>
      </c>
      <c r="H174" s="77">
        <v>0.01</v>
      </c>
      <c r="I174" s="62" t="s">
        <v>246</v>
      </c>
      <c r="J174" s="64">
        <f>F174*H174</f>
        <v>0</v>
      </c>
      <c r="K174" s="61" t="s">
        <v>57</v>
      </c>
      <c r="L174" s="63"/>
      <c r="M174" s="63"/>
    </row>
    <row r="175" spans="1:57" ht="13.8" thickBot="1" x14ac:dyDescent="0.3">
      <c r="A175" s="889"/>
      <c r="B175" s="61"/>
      <c r="C175" s="61" t="s">
        <v>369</v>
      </c>
      <c r="D175" s="63"/>
      <c r="E175" s="61"/>
      <c r="F175" s="388">
        <f>S78*'Gårdens info'!$G$13/1</f>
        <v>0</v>
      </c>
      <c r="G175" s="61" t="s">
        <v>31</v>
      </c>
      <c r="H175" s="77">
        <v>0.01</v>
      </c>
      <c r="I175" s="62" t="s">
        <v>246</v>
      </c>
      <c r="J175" s="64">
        <f t="shared" ref="J175:J181" si="17">F175*H175</f>
        <v>0</v>
      </c>
      <c r="K175" s="61" t="s">
        <v>57</v>
      </c>
      <c r="L175" s="63"/>
      <c r="M175" s="63"/>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row>
    <row r="176" spans="1:57" ht="13.8" thickBot="1" x14ac:dyDescent="0.3">
      <c r="A176" s="889"/>
      <c r="B176" s="61"/>
      <c r="C176" s="61" t="s">
        <v>270</v>
      </c>
      <c r="D176" s="63"/>
      <c r="E176" s="61"/>
      <c r="F176" s="388">
        <f>S79*'Gårdens info'!$G$13/1</f>
        <v>0</v>
      </c>
      <c r="G176" s="61" t="s">
        <v>31</v>
      </c>
      <c r="H176" s="77">
        <v>0.01</v>
      </c>
      <c r="I176" s="62" t="s">
        <v>246</v>
      </c>
      <c r="J176" s="64">
        <f t="shared" si="17"/>
        <v>0</v>
      </c>
      <c r="K176" s="61" t="s">
        <v>57</v>
      </c>
      <c r="L176" s="63"/>
      <c r="M176" s="63"/>
    </row>
    <row r="177" spans="1:57" ht="13.8" thickBot="1" x14ac:dyDescent="0.3">
      <c r="A177" s="889"/>
      <c r="B177" s="61"/>
      <c r="C177" s="61" t="s">
        <v>271</v>
      </c>
      <c r="D177" s="63"/>
      <c r="E177" s="61"/>
      <c r="F177" s="388">
        <f>S80*'Gårdens info'!$G$13/1</f>
        <v>25000</v>
      </c>
      <c r="G177" s="61" t="s">
        <v>31</v>
      </c>
      <c r="H177" s="77">
        <v>0.03</v>
      </c>
      <c r="I177" s="62" t="s">
        <v>246</v>
      </c>
      <c r="J177" s="64">
        <f t="shared" si="17"/>
        <v>750</v>
      </c>
      <c r="K177" s="61" t="s">
        <v>57</v>
      </c>
      <c r="L177" s="63"/>
      <c r="M177" s="63"/>
    </row>
    <row r="178" spans="1:57" ht="13.8" thickBot="1" x14ac:dyDescent="0.3">
      <c r="A178" s="889"/>
      <c r="B178" s="61"/>
      <c r="C178" s="77" t="s">
        <v>396</v>
      </c>
      <c r="D178" s="77">
        <v>300</v>
      </c>
      <c r="E178" s="61" t="s">
        <v>212</v>
      </c>
      <c r="F178" s="388">
        <f>IF(S81&gt;0,(S81*'Gårdens info'!$G$13/D178),0)</f>
        <v>83.333333333333329</v>
      </c>
      <c r="G178" s="61" t="s">
        <v>31</v>
      </c>
      <c r="H178" s="77">
        <v>1</v>
      </c>
      <c r="I178" s="62" t="s">
        <v>246</v>
      </c>
      <c r="J178" s="64">
        <f t="shared" si="17"/>
        <v>83.333333333333329</v>
      </c>
      <c r="K178" s="61" t="s">
        <v>57</v>
      </c>
      <c r="L178" s="63"/>
      <c r="M178" s="63"/>
    </row>
    <row r="179" spans="1:57" ht="13.8" thickBot="1" x14ac:dyDescent="0.3">
      <c r="A179" s="889"/>
      <c r="B179" s="61"/>
      <c r="C179" s="77" t="s">
        <v>272</v>
      </c>
      <c r="D179" s="77"/>
      <c r="E179" s="61" t="s">
        <v>212</v>
      </c>
      <c r="F179" s="388">
        <f>IF(S82&gt;0,(S82*'Gårdens info'!$G$13/D179),0)</f>
        <v>0</v>
      </c>
      <c r="G179" s="61" t="s">
        <v>31</v>
      </c>
      <c r="H179" s="77"/>
      <c r="I179" s="62" t="s">
        <v>246</v>
      </c>
      <c r="J179" s="64">
        <f t="shared" si="17"/>
        <v>0</v>
      </c>
      <c r="K179" s="61" t="s">
        <v>57</v>
      </c>
      <c r="L179" s="63"/>
      <c r="M179" s="63"/>
    </row>
    <row r="180" spans="1:57" ht="13.8" thickBot="1" x14ac:dyDescent="0.3">
      <c r="A180" s="889"/>
      <c r="B180" s="61"/>
      <c r="C180" s="77" t="s">
        <v>272</v>
      </c>
      <c r="D180" s="77"/>
      <c r="E180" s="61" t="s">
        <v>212</v>
      </c>
      <c r="F180" s="388">
        <f>IF(S83&gt;0,(S83*'Gårdens info'!$G$13/D180),0)</f>
        <v>0</v>
      </c>
      <c r="G180" s="61" t="s">
        <v>31</v>
      </c>
      <c r="H180" s="77"/>
      <c r="I180" s="62" t="s">
        <v>246</v>
      </c>
      <c r="J180" s="64">
        <f t="shared" si="17"/>
        <v>0</v>
      </c>
      <c r="K180" s="61" t="s">
        <v>57</v>
      </c>
      <c r="L180" s="63"/>
      <c r="M180" s="63"/>
    </row>
    <row r="181" spans="1:57" ht="13.8" thickBot="1" x14ac:dyDescent="0.3">
      <c r="A181" s="889"/>
      <c r="B181" s="61"/>
      <c r="C181" s="77" t="s">
        <v>272</v>
      </c>
      <c r="D181" s="77"/>
      <c r="E181" s="61" t="s">
        <v>212</v>
      </c>
      <c r="F181" s="388">
        <f>IF(S84&gt;0,(S84*'Gårdens info'!$G$13/D181),0)</f>
        <v>0</v>
      </c>
      <c r="G181" s="61" t="s">
        <v>31</v>
      </c>
      <c r="H181" s="77"/>
      <c r="I181" s="62" t="s">
        <v>246</v>
      </c>
      <c r="J181" s="64">
        <f t="shared" si="17"/>
        <v>0</v>
      </c>
      <c r="K181" s="61" t="s">
        <v>57</v>
      </c>
      <c r="L181" s="63"/>
      <c r="M181" s="63"/>
    </row>
    <row r="182" spans="1:57" x14ac:dyDescent="0.25">
      <c r="A182" s="889"/>
      <c r="B182" s="198"/>
      <c r="C182" s="198" t="s">
        <v>54</v>
      </c>
      <c r="D182" s="198"/>
      <c r="E182" s="198"/>
      <c r="F182" s="198"/>
      <c r="G182" s="198"/>
      <c r="H182" s="199"/>
      <c r="I182" s="199"/>
      <c r="J182" s="200">
        <f>SUM(J174:J181)</f>
        <v>833.33333333333337</v>
      </c>
      <c r="K182" s="198" t="s">
        <v>57</v>
      </c>
      <c r="L182" s="198"/>
      <c r="M182" s="198"/>
    </row>
    <row r="183" spans="1:57" x14ac:dyDescent="0.25">
      <c r="A183" s="889"/>
      <c r="B183" s="61"/>
      <c r="C183" s="61"/>
      <c r="D183" s="61"/>
      <c r="E183" s="61"/>
      <c r="F183" s="61"/>
      <c r="G183" s="61"/>
      <c r="H183" s="62"/>
      <c r="I183" s="62"/>
      <c r="J183" s="64"/>
      <c r="K183" s="61"/>
      <c r="L183" s="63"/>
      <c r="M183" s="63"/>
    </row>
    <row r="184" spans="1:57" x14ac:dyDescent="0.25">
      <c r="A184" s="889"/>
    </row>
    <row r="185" spans="1:57" s="5" customFormat="1" ht="15.6" x14ac:dyDescent="0.3">
      <c r="A185" s="890"/>
      <c r="B185" s="87" t="s">
        <v>273</v>
      </c>
      <c r="C185" s="65"/>
      <c r="D185" s="65"/>
      <c r="E185" s="65"/>
      <c r="F185" s="1072" t="s">
        <v>114</v>
      </c>
      <c r="G185" s="1072"/>
      <c r="H185" s="1072" t="s">
        <v>113</v>
      </c>
      <c r="I185" s="1072"/>
      <c r="J185" s="1072" t="s">
        <v>243</v>
      </c>
      <c r="K185" s="1072"/>
      <c r="L185" s="67"/>
      <c r="M185" s="67"/>
      <c r="N185"/>
      <c r="O185"/>
      <c r="P185"/>
      <c r="Q185"/>
      <c r="R185"/>
      <c r="S185"/>
      <c r="T185"/>
      <c r="U185"/>
      <c r="AE185"/>
      <c r="AF185"/>
      <c r="AG185"/>
      <c r="AH185"/>
      <c r="AI185"/>
      <c r="AJ185"/>
      <c r="AK185"/>
      <c r="AL185"/>
      <c r="AM185"/>
      <c r="AN185"/>
      <c r="AO185"/>
      <c r="AP185"/>
      <c r="AQ185"/>
      <c r="AR185"/>
      <c r="AS185"/>
      <c r="AT185"/>
      <c r="AU185"/>
      <c r="AV185"/>
      <c r="AW185"/>
      <c r="AX185"/>
      <c r="AY185"/>
      <c r="AZ185"/>
      <c r="BA185"/>
      <c r="BB185"/>
      <c r="BC185"/>
      <c r="BD185"/>
      <c r="BE185"/>
    </row>
    <row r="186" spans="1:57" ht="13.8" thickBot="1" x14ac:dyDescent="0.3">
      <c r="A186" s="889"/>
      <c r="B186" s="65"/>
      <c r="C186" s="65"/>
      <c r="D186" s="65"/>
      <c r="E186" s="65"/>
      <c r="F186" s="65"/>
      <c r="G186" s="65"/>
      <c r="H186" s="66"/>
      <c r="I186" s="66"/>
      <c r="J186" s="67"/>
      <c r="K186" s="67"/>
      <c r="L186" s="67"/>
      <c r="M186" s="67"/>
    </row>
    <row r="187" spans="1:57" ht="13.8" thickBot="1" x14ac:dyDescent="0.3">
      <c r="A187" s="889"/>
      <c r="B187" s="65"/>
      <c r="C187" s="65" t="s">
        <v>222</v>
      </c>
      <c r="D187" s="67"/>
      <c r="E187" s="65"/>
      <c r="F187" s="74">
        <f>'Gårdens info'!G13*'Gårdens info'!D13*0.9</f>
        <v>450000</v>
      </c>
      <c r="G187" s="65" t="s">
        <v>212</v>
      </c>
      <c r="H187" s="77">
        <v>2E-3</v>
      </c>
      <c r="I187" s="66" t="s">
        <v>206</v>
      </c>
      <c r="J187" s="68">
        <f t="shared" ref="J187:J189" si="18">F187*H187</f>
        <v>900</v>
      </c>
      <c r="K187" s="65" t="s">
        <v>57</v>
      </c>
      <c r="L187" s="67"/>
      <c r="M187" s="67"/>
      <c r="N187" s="5"/>
      <c r="O187" s="5"/>
      <c r="P187" s="5"/>
      <c r="Q187" s="5"/>
      <c r="R187" s="5"/>
      <c r="S187" s="5"/>
      <c r="T187" s="5"/>
      <c r="U187" s="5"/>
    </row>
    <row r="188" spans="1:57" ht="13.8" thickBot="1" x14ac:dyDescent="0.3">
      <c r="A188" s="889"/>
      <c r="B188" s="65"/>
      <c r="C188" s="65" t="s">
        <v>274</v>
      </c>
      <c r="D188" s="65"/>
      <c r="E188" s="65"/>
      <c r="F188" s="74"/>
      <c r="G188" s="65" t="s">
        <v>212</v>
      </c>
      <c r="H188" s="77"/>
      <c r="I188" s="66" t="s">
        <v>206</v>
      </c>
      <c r="J188" s="68">
        <f t="shared" si="18"/>
        <v>0</v>
      </c>
      <c r="K188" s="65" t="s">
        <v>57</v>
      </c>
      <c r="L188" s="67"/>
      <c r="M188" s="67"/>
    </row>
    <row r="189" spans="1:57" ht="13.8" thickBot="1" x14ac:dyDescent="0.3">
      <c r="A189" s="889"/>
      <c r="B189" s="65"/>
      <c r="C189" s="65" t="s">
        <v>274</v>
      </c>
      <c r="D189" s="65"/>
      <c r="E189" s="65"/>
      <c r="F189" s="74"/>
      <c r="G189" s="65" t="s">
        <v>212</v>
      </c>
      <c r="H189" s="77"/>
      <c r="I189" s="66" t="s">
        <v>206</v>
      </c>
      <c r="J189" s="68">
        <f t="shared" si="18"/>
        <v>0</v>
      </c>
      <c r="K189" s="65" t="s">
        <v>57</v>
      </c>
      <c r="L189" s="67"/>
      <c r="M189" s="67"/>
    </row>
    <row r="190" spans="1:57" x14ac:dyDescent="0.25">
      <c r="A190" s="889"/>
      <c r="B190" s="201"/>
      <c r="C190" s="201" t="s">
        <v>54</v>
      </c>
      <c r="D190" s="201"/>
      <c r="E190" s="201"/>
      <c r="F190" s="201"/>
      <c r="G190" s="201"/>
      <c r="H190" s="202"/>
      <c r="I190" s="202"/>
      <c r="J190" s="203">
        <f>SUM(J187:J189)</f>
        <v>900</v>
      </c>
      <c r="K190" s="201" t="s">
        <v>57</v>
      </c>
      <c r="L190" s="201"/>
      <c r="M190" s="201"/>
    </row>
    <row r="191" spans="1:57" x14ac:dyDescent="0.25">
      <c r="A191" s="889"/>
      <c r="B191" s="65"/>
      <c r="C191" s="65"/>
      <c r="D191" s="65"/>
      <c r="E191" s="65"/>
      <c r="F191" s="65"/>
      <c r="G191" s="65"/>
      <c r="H191" s="66"/>
      <c r="I191" s="66"/>
      <c r="J191" s="68"/>
      <c r="K191" s="65"/>
      <c r="L191" s="67"/>
      <c r="M191" s="67"/>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row>
    <row r="192" spans="1:57" x14ac:dyDescent="0.25">
      <c r="A192" s="889"/>
    </row>
    <row r="193" spans="1:57" ht="15.6" x14ac:dyDescent="0.3">
      <c r="A193" s="889"/>
      <c r="B193" s="176" t="s">
        <v>473</v>
      </c>
      <c r="C193" s="177"/>
      <c r="D193" s="177"/>
      <c r="E193" s="177"/>
      <c r="F193" s="1067" t="s">
        <v>114</v>
      </c>
      <c r="G193" s="1067"/>
      <c r="H193" s="1067" t="s">
        <v>113</v>
      </c>
      <c r="I193" s="1067"/>
      <c r="J193" s="1067" t="s">
        <v>243</v>
      </c>
      <c r="K193" s="1067"/>
      <c r="L193" s="179"/>
      <c r="M193" s="179"/>
    </row>
    <row r="194" spans="1:57" ht="13.8" thickBot="1" x14ac:dyDescent="0.3">
      <c r="A194" s="889"/>
      <c r="B194" s="177"/>
      <c r="C194" s="177"/>
      <c r="D194" s="177"/>
      <c r="E194" s="177"/>
      <c r="F194" s="177"/>
      <c r="G194" s="177"/>
      <c r="H194" s="178"/>
      <c r="I194" s="178"/>
      <c r="J194" s="179"/>
      <c r="K194" s="179"/>
      <c r="L194" s="179"/>
      <c r="M194" s="179"/>
    </row>
    <row r="195" spans="1:57" ht="13.8" thickBot="1" x14ac:dyDescent="0.3">
      <c r="A195" s="889"/>
      <c r="B195" s="177"/>
      <c r="C195" s="177" t="s">
        <v>276</v>
      </c>
      <c r="D195" s="179"/>
      <c r="E195" s="177"/>
      <c r="F195" s="74"/>
      <c r="G195" s="177" t="s">
        <v>7</v>
      </c>
      <c r="H195" s="77"/>
      <c r="I195" s="178" t="s">
        <v>57</v>
      </c>
      <c r="J195" s="180">
        <f t="shared" ref="J195:J197" si="19">F195*H195</f>
        <v>0</v>
      </c>
      <c r="K195" s="177" t="s">
        <v>57</v>
      </c>
      <c r="L195" s="179"/>
      <c r="M195" s="179"/>
    </row>
    <row r="196" spans="1:57" ht="13.8" thickBot="1" x14ac:dyDescent="0.3">
      <c r="B196" s="177"/>
      <c r="C196" s="177" t="s">
        <v>276</v>
      </c>
      <c r="D196" s="177"/>
      <c r="E196" s="177"/>
      <c r="F196" s="74"/>
      <c r="G196" s="177" t="s">
        <v>7</v>
      </c>
      <c r="H196" s="77"/>
      <c r="I196" s="178" t="s">
        <v>57</v>
      </c>
      <c r="J196" s="180">
        <f t="shared" si="19"/>
        <v>0</v>
      </c>
      <c r="K196" s="177" t="s">
        <v>57</v>
      </c>
      <c r="L196" s="179"/>
      <c r="M196" s="179"/>
    </row>
    <row r="197" spans="1:57" ht="13.8" thickBot="1" x14ac:dyDescent="0.3">
      <c r="B197" s="177"/>
      <c r="C197" s="177" t="s">
        <v>276</v>
      </c>
      <c r="D197" s="177"/>
      <c r="E197" s="177"/>
      <c r="F197" s="74"/>
      <c r="G197" s="177" t="s">
        <v>7</v>
      </c>
      <c r="H197" s="77"/>
      <c r="I197" s="178" t="s">
        <v>57</v>
      </c>
      <c r="J197" s="180">
        <f t="shared" si="19"/>
        <v>0</v>
      </c>
      <c r="K197" s="177" t="s">
        <v>57</v>
      </c>
      <c r="L197" s="179"/>
      <c r="M197" s="179"/>
    </row>
    <row r="198" spans="1:57" s="5" customFormat="1" x14ac:dyDescent="0.25">
      <c r="A198" s="884"/>
      <c r="B198" s="204"/>
      <c r="C198" s="204" t="s">
        <v>54</v>
      </c>
      <c r="D198" s="204"/>
      <c r="E198" s="204"/>
      <c r="F198" s="204"/>
      <c r="G198" s="204"/>
      <c r="H198" s="205"/>
      <c r="I198" s="205"/>
      <c r="J198" s="206">
        <f>SUM(J195:J197)</f>
        <v>0</v>
      </c>
      <c r="K198" s="204" t="s">
        <v>57</v>
      </c>
      <c r="L198" s="204"/>
      <c r="M198" s="204"/>
      <c r="N198"/>
      <c r="O198"/>
      <c r="P198"/>
      <c r="Q198"/>
      <c r="R198"/>
      <c r="S198"/>
      <c r="T198"/>
      <c r="U198"/>
      <c r="AE198"/>
      <c r="AF198"/>
      <c r="AG198"/>
      <c r="AH198"/>
      <c r="AI198"/>
      <c r="AJ198"/>
      <c r="AK198"/>
      <c r="AL198"/>
      <c r="AM198"/>
      <c r="AN198"/>
      <c r="AO198"/>
      <c r="AP198"/>
      <c r="AQ198"/>
      <c r="AR198"/>
      <c r="AS198"/>
      <c r="AT198"/>
      <c r="AU198"/>
      <c r="AV198"/>
      <c r="AW198"/>
      <c r="AX198"/>
      <c r="AY198"/>
      <c r="AZ198"/>
      <c r="BA198"/>
      <c r="BB198"/>
      <c r="BC198"/>
      <c r="BD198"/>
      <c r="BE198"/>
    </row>
    <row r="199" spans="1:57" x14ac:dyDescent="0.25">
      <c r="B199" s="177"/>
      <c r="C199" s="177"/>
      <c r="D199" s="177"/>
      <c r="E199" s="177"/>
      <c r="F199" s="177"/>
      <c r="G199" s="177"/>
      <c r="H199" s="178"/>
      <c r="I199" s="178"/>
      <c r="J199" s="180"/>
      <c r="K199" s="177"/>
      <c r="L199" s="179"/>
      <c r="M199" s="179"/>
    </row>
    <row r="200" spans="1:57" ht="30" customHeight="1" x14ac:dyDescent="0.25">
      <c r="N200" s="5"/>
      <c r="O200" s="5"/>
      <c r="P200" s="5"/>
      <c r="Q200" s="5"/>
      <c r="R200" s="5"/>
      <c r="S200" s="5"/>
      <c r="T200" s="5"/>
      <c r="U200" s="5"/>
    </row>
    <row r="201" spans="1:57" ht="15.6" x14ac:dyDescent="0.3">
      <c r="B201" s="181" t="s">
        <v>277</v>
      </c>
      <c r="C201" s="182"/>
      <c r="D201" s="182"/>
      <c r="E201" s="183"/>
      <c r="F201" s="182" t="s">
        <v>114</v>
      </c>
      <c r="G201" s="184"/>
      <c r="H201" s="184" t="s">
        <v>113</v>
      </c>
      <c r="I201" s="182"/>
      <c r="J201" s="182"/>
      <c r="K201" s="185"/>
      <c r="L201" s="185"/>
      <c r="M201" s="185"/>
    </row>
    <row r="202" spans="1:57" ht="16.2" thickBot="1" x14ac:dyDescent="0.35">
      <c r="B202" s="181"/>
      <c r="C202" s="182"/>
      <c r="D202" s="182"/>
      <c r="E202" s="183"/>
      <c r="F202" s="182"/>
      <c r="G202" s="184"/>
      <c r="H202" s="184"/>
      <c r="I202" s="182"/>
      <c r="J202" s="182"/>
      <c r="K202" s="185"/>
      <c r="L202" s="185"/>
      <c r="M202" s="185"/>
    </row>
    <row r="203" spans="1:57" ht="13.8" thickBot="1" x14ac:dyDescent="0.3">
      <c r="B203" s="182"/>
      <c r="C203" s="182" t="s">
        <v>278</v>
      </c>
      <c r="D203" s="185"/>
      <c r="E203" s="186"/>
      <c r="F203" s="74">
        <v>2000</v>
      </c>
      <c r="G203" s="187" t="s">
        <v>279</v>
      </c>
      <c r="H203" s="74">
        <v>0.15</v>
      </c>
      <c r="I203" s="188" t="s">
        <v>280</v>
      </c>
      <c r="J203" s="185">
        <f>H203*F203</f>
        <v>300</v>
      </c>
      <c r="K203" s="188" t="s">
        <v>57</v>
      </c>
      <c r="L203" s="185"/>
      <c r="M203" s="185"/>
    </row>
    <row r="204" spans="1:57" ht="13.8" thickBot="1" x14ac:dyDescent="0.3">
      <c r="B204" s="182"/>
      <c r="C204" s="182" t="s">
        <v>281</v>
      </c>
      <c r="D204" s="188">
        <f>F247/2</f>
        <v>102.5</v>
      </c>
      <c r="E204" s="182" t="s">
        <v>282</v>
      </c>
      <c r="F204" s="74">
        <f>+D204*8</f>
        <v>820</v>
      </c>
      <c r="G204" s="184" t="s">
        <v>256</v>
      </c>
      <c r="H204" s="74">
        <v>0.83</v>
      </c>
      <c r="I204" s="188" t="s">
        <v>257</v>
      </c>
      <c r="J204" s="185">
        <f>H204*F204</f>
        <v>680.6</v>
      </c>
      <c r="K204" s="188" t="s">
        <v>57</v>
      </c>
      <c r="L204" s="185"/>
      <c r="M204" s="18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row>
    <row r="205" spans="1:57" ht="13.8" thickBot="1" x14ac:dyDescent="0.3">
      <c r="B205" s="182"/>
      <c r="C205" s="182" t="s">
        <v>283</v>
      </c>
      <c r="D205" s="188">
        <f>D204</f>
        <v>102.5</v>
      </c>
      <c r="E205" s="182" t="s">
        <v>282</v>
      </c>
      <c r="F205" s="74">
        <v>11.88</v>
      </c>
      <c r="G205" s="184" t="s">
        <v>212</v>
      </c>
      <c r="H205" s="74">
        <v>4</v>
      </c>
      <c r="I205" s="188" t="s">
        <v>206</v>
      </c>
      <c r="J205" s="185">
        <f t="shared" ref="J205:J209" si="20">H205*F205</f>
        <v>47.52</v>
      </c>
      <c r="K205" s="188" t="s">
        <v>57</v>
      </c>
      <c r="L205" s="185"/>
      <c r="M205" s="185"/>
    </row>
    <row r="206" spans="1:57" ht="13.8" thickBot="1" x14ac:dyDescent="0.3">
      <c r="B206" s="182"/>
      <c r="C206" s="182" t="s">
        <v>284</v>
      </c>
      <c r="D206" s="185"/>
      <c r="E206" s="188"/>
      <c r="F206" s="74">
        <v>200</v>
      </c>
      <c r="G206" s="184" t="s">
        <v>256</v>
      </c>
      <c r="H206" s="74">
        <v>1.53</v>
      </c>
      <c r="I206" s="188" t="s">
        <v>257</v>
      </c>
      <c r="J206" s="185">
        <f t="shared" si="20"/>
        <v>306</v>
      </c>
      <c r="K206" s="188" t="s">
        <v>57</v>
      </c>
      <c r="L206" s="185"/>
      <c r="M206" s="185"/>
    </row>
    <row r="207" spans="1:57" ht="13.8" thickBot="1" x14ac:dyDescent="0.3">
      <c r="B207" s="182"/>
      <c r="C207" s="182" t="s">
        <v>285</v>
      </c>
      <c r="D207" s="185"/>
      <c r="E207" s="188"/>
      <c r="F207" s="74"/>
      <c r="G207" s="184" t="s">
        <v>256</v>
      </c>
      <c r="H207" s="74"/>
      <c r="I207" s="188" t="s">
        <v>257</v>
      </c>
      <c r="J207" s="185">
        <f t="shared" si="20"/>
        <v>0</v>
      </c>
      <c r="K207" s="188" t="s">
        <v>57</v>
      </c>
      <c r="L207" s="185"/>
      <c r="M207" s="185"/>
    </row>
    <row r="208" spans="1:57" ht="13.8" thickBot="1" x14ac:dyDescent="0.3">
      <c r="B208" s="182"/>
      <c r="C208" s="182" t="s">
        <v>286</v>
      </c>
      <c r="D208" s="185"/>
      <c r="E208" s="188"/>
      <c r="F208" s="74"/>
      <c r="G208" s="184"/>
      <c r="H208" s="74"/>
      <c r="I208" s="188"/>
      <c r="J208" s="185">
        <f t="shared" si="20"/>
        <v>0</v>
      </c>
      <c r="K208" s="188" t="s">
        <v>57</v>
      </c>
      <c r="L208" s="185"/>
      <c r="M208" s="185"/>
    </row>
    <row r="209" spans="1:57" ht="13.8" thickBot="1" x14ac:dyDescent="0.3">
      <c r="B209" s="185"/>
      <c r="C209" s="182" t="s">
        <v>286</v>
      </c>
      <c r="D209" s="185"/>
      <c r="E209" s="185"/>
      <c r="F209" s="74"/>
      <c r="G209" s="185"/>
      <c r="H209" s="74"/>
      <c r="I209" s="185"/>
      <c r="J209" s="185">
        <f t="shared" si="20"/>
        <v>0</v>
      </c>
      <c r="K209" s="188" t="s">
        <v>57</v>
      </c>
      <c r="L209" s="185"/>
      <c r="M209" s="185"/>
    </row>
    <row r="210" spans="1:57" s="5" customFormat="1" x14ac:dyDescent="0.25">
      <c r="A210" s="884"/>
      <c r="B210" s="207"/>
      <c r="C210" s="207" t="s">
        <v>54</v>
      </c>
      <c r="D210" s="207"/>
      <c r="E210" s="207"/>
      <c r="F210" s="207"/>
      <c r="G210" s="207"/>
      <c r="H210" s="207"/>
      <c r="I210" s="207"/>
      <c r="J210" s="207">
        <f>SUM(J203:J209)</f>
        <v>1334.1200000000001</v>
      </c>
      <c r="K210" s="208" t="s">
        <v>57</v>
      </c>
      <c r="L210" s="207"/>
      <c r="M210" s="207"/>
      <c r="AE210"/>
      <c r="AF210"/>
      <c r="AG210"/>
      <c r="AH210"/>
      <c r="AI210"/>
      <c r="AJ210"/>
      <c r="AK210"/>
      <c r="AL210"/>
      <c r="AM210"/>
      <c r="AN210"/>
      <c r="AO210"/>
      <c r="AP210"/>
      <c r="AQ210"/>
      <c r="AR210"/>
      <c r="AS210"/>
      <c r="AT210"/>
      <c r="AU210"/>
      <c r="AV210"/>
      <c r="AW210"/>
      <c r="AX210"/>
      <c r="AY210"/>
      <c r="AZ210"/>
      <c r="BA210"/>
      <c r="BB210"/>
      <c r="BC210"/>
      <c r="BD210"/>
      <c r="BE210"/>
    </row>
    <row r="211" spans="1:57" x14ac:dyDescent="0.25">
      <c r="B211" s="185"/>
      <c r="C211" s="185"/>
      <c r="D211" s="185"/>
      <c r="E211" s="185"/>
      <c r="F211" s="185"/>
      <c r="G211" s="185"/>
      <c r="H211" s="185"/>
      <c r="I211" s="185"/>
      <c r="J211" s="185"/>
      <c r="K211" s="185"/>
      <c r="L211" s="185"/>
      <c r="M211" s="185"/>
    </row>
    <row r="213" spans="1:57" ht="15.6" x14ac:dyDescent="0.3">
      <c r="B213" s="88" t="s">
        <v>287</v>
      </c>
      <c r="C213" s="79"/>
      <c r="D213" s="79"/>
      <c r="E213" s="79"/>
      <c r="F213" s="79"/>
      <c r="G213" s="79"/>
      <c r="H213" s="79"/>
      <c r="I213" s="79"/>
      <c r="J213" s="79"/>
      <c r="K213" s="79"/>
      <c r="L213" s="79"/>
      <c r="M213" s="79"/>
    </row>
    <row r="214" spans="1:57" ht="15.6" x14ac:dyDescent="0.3">
      <c r="B214" s="88"/>
      <c r="C214" s="79"/>
      <c r="D214" s="79"/>
      <c r="E214" s="79"/>
      <c r="F214" s="79"/>
      <c r="G214" s="79"/>
      <c r="H214" s="79"/>
      <c r="I214" s="79"/>
      <c r="J214" s="79"/>
      <c r="K214" s="79"/>
      <c r="L214" s="79"/>
      <c r="M214" s="79"/>
    </row>
    <row r="215" spans="1:57" ht="52.95" customHeight="1" x14ac:dyDescent="0.25">
      <c r="B215" s="1096" t="s">
        <v>373</v>
      </c>
      <c r="C215" s="1096"/>
      <c r="D215" s="1096"/>
      <c r="E215" s="1096"/>
      <c r="F215" s="1096"/>
      <c r="G215" s="1096"/>
      <c r="H215" s="1096"/>
      <c r="I215" s="1096"/>
      <c r="J215" s="1096"/>
      <c r="K215" s="1096"/>
      <c r="L215" s="1096"/>
      <c r="M215" s="1096"/>
    </row>
    <row r="216" spans="1:57" s="5" customFormat="1" ht="25.2" customHeight="1" x14ac:dyDescent="0.3">
      <c r="A216" s="884"/>
      <c r="B216" s="1105" t="s">
        <v>374</v>
      </c>
      <c r="C216" s="1106"/>
      <c r="D216" s="1106"/>
      <c r="E216" s="1106"/>
      <c r="F216" s="1106"/>
      <c r="G216" s="83"/>
      <c r="H216" s="84"/>
      <c r="I216" s="84"/>
      <c r="J216" s="83"/>
      <c r="K216" s="83"/>
      <c r="L216" s="84"/>
      <c r="M216" s="84"/>
      <c r="N216"/>
      <c r="O216"/>
      <c r="P216"/>
      <c r="Q216"/>
      <c r="R216"/>
      <c r="S216"/>
      <c r="T216"/>
      <c r="U216"/>
    </row>
    <row r="217" spans="1:57" ht="16.2" customHeight="1" x14ac:dyDescent="0.3">
      <c r="B217" s="88"/>
      <c r="C217" s="79"/>
      <c r="D217" s="79"/>
      <c r="E217" s="1069" t="s">
        <v>290</v>
      </c>
      <c r="F217" s="1069"/>
      <c r="G217" s="1069"/>
      <c r="H217" s="1070" t="s">
        <v>113</v>
      </c>
      <c r="I217" s="1070"/>
      <c r="J217" s="1069" t="s">
        <v>291</v>
      </c>
      <c r="K217" s="1069"/>
      <c r="L217" s="1070" t="s">
        <v>113</v>
      </c>
      <c r="M217" s="1070"/>
    </row>
    <row r="218" spans="1:57" ht="16.2" customHeight="1" thickBot="1" x14ac:dyDescent="0.3">
      <c r="B218" s="78"/>
      <c r="C218" s="79"/>
      <c r="D218" s="79"/>
      <c r="E218" s="79"/>
      <c r="F218" s="79"/>
      <c r="G218" s="79"/>
      <c r="H218" s="79"/>
      <c r="I218" s="79"/>
      <c r="J218" s="79"/>
      <c r="K218" s="79"/>
      <c r="L218" s="79"/>
      <c r="M218" s="79"/>
      <c r="N218" s="5"/>
      <c r="O218" s="5"/>
      <c r="P218" s="5"/>
      <c r="Q218" s="5"/>
      <c r="R218" s="5"/>
      <c r="S218" s="5"/>
      <c r="T218" s="5"/>
      <c r="U218" s="5"/>
    </row>
    <row r="219" spans="1:57" ht="13.8" thickBot="1" x14ac:dyDescent="0.3">
      <c r="B219" s="79"/>
      <c r="C219" s="80" t="s">
        <v>326</v>
      </c>
      <c r="D219" s="79"/>
      <c r="E219" s="79"/>
      <c r="F219" s="822">
        <f>BD6</f>
        <v>11</v>
      </c>
      <c r="G219" s="82" t="s">
        <v>293</v>
      </c>
      <c r="H219" s="93">
        <v>14.5</v>
      </c>
      <c r="I219" s="82" t="s">
        <v>294</v>
      </c>
      <c r="J219" s="823"/>
      <c r="K219" s="82" t="s">
        <v>293</v>
      </c>
      <c r="L219" s="93">
        <v>14.5</v>
      </c>
      <c r="M219" s="82" t="s">
        <v>294</v>
      </c>
    </row>
    <row r="220" spans="1:57" ht="17.399999999999999" x14ac:dyDescent="0.3">
      <c r="B220" s="79"/>
      <c r="C220" s="80" t="s">
        <v>328</v>
      </c>
      <c r="D220" s="79"/>
      <c r="E220" s="79"/>
      <c r="F220" s="822">
        <f>BD7</f>
        <v>0</v>
      </c>
      <c r="G220" s="82" t="s">
        <v>293</v>
      </c>
      <c r="H220" s="90">
        <f>$H$219</f>
        <v>14.5</v>
      </c>
      <c r="I220" s="82" t="s">
        <v>294</v>
      </c>
      <c r="J220" s="823"/>
      <c r="K220" s="82" t="s">
        <v>293</v>
      </c>
      <c r="L220" s="90">
        <f>$L$219</f>
        <v>14.5</v>
      </c>
      <c r="M220" s="82" t="s">
        <v>294</v>
      </c>
      <c r="S220" s="56"/>
    </row>
    <row r="221" spans="1:57" ht="17.399999999999999" x14ac:dyDescent="0.3">
      <c r="B221" s="79"/>
      <c r="C221" s="80" t="s">
        <v>329</v>
      </c>
      <c r="D221" s="79"/>
      <c r="E221" s="79"/>
      <c r="F221" s="822">
        <f>BD8</f>
        <v>3</v>
      </c>
      <c r="G221" s="82" t="s">
        <v>293</v>
      </c>
      <c r="H221" s="90">
        <f t="shared" ref="H221:H246" si="21">$H$219</f>
        <v>14.5</v>
      </c>
      <c r="I221" s="82" t="s">
        <v>294</v>
      </c>
      <c r="J221" s="823"/>
      <c r="K221" s="82" t="s">
        <v>293</v>
      </c>
      <c r="L221" s="90">
        <f t="shared" ref="L221:L246" si="22">$L$219</f>
        <v>14.5</v>
      </c>
      <c r="M221" s="82" t="s">
        <v>294</v>
      </c>
      <c r="S221" s="56"/>
    </row>
    <row r="222" spans="1:57" ht="17.399999999999999" x14ac:dyDescent="0.3">
      <c r="B222" s="79"/>
      <c r="C222" s="80" t="str">
        <f>AE9</f>
        <v>Mottagning och skötsel av plantor</v>
      </c>
      <c r="D222" s="79"/>
      <c r="E222" s="79"/>
      <c r="F222" s="822">
        <f>BD9</f>
        <v>1</v>
      </c>
      <c r="G222" s="82" t="s">
        <v>293</v>
      </c>
      <c r="H222" s="90">
        <f t="shared" si="21"/>
        <v>14.5</v>
      </c>
      <c r="I222" s="82" t="s">
        <v>294</v>
      </c>
      <c r="J222" s="823"/>
      <c r="K222" s="82" t="s">
        <v>293</v>
      </c>
      <c r="L222" s="90">
        <f t="shared" si="22"/>
        <v>14.5</v>
      </c>
      <c r="M222" s="82" t="s">
        <v>294</v>
      </c>
      <c r="S222" s="56"/>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row>
    <row r="223" spans="1:57" ht="17.399999999999999" x14ac:dyDescent="0.3">
      <c r="B223" s="79"/>
      <c r="C223" s="80" t="str">
        <f>AE10</f>
        <v>Plantering</v>
      </c>
      <c r="D223" s="79"/>
      <c r="E223" s="79"/>
      <c r="F223" s="822">
        <f>BD10/2</f>
        <v>5</v>
      </c>
      <c r="G223" s="82" t="s">
        <v>293</v>
      </c>
      <c r="H223" s="90">
        <f t="shared" si="21"/>
        <v>14.5</v>
      </c>
      <c r="I223" s="82" t="s">
        <v>294</v>
      </c>
      <c r="J223" s="822">
        <f>BD10/2</f>
        <v>5</v>
      </c>
      <c r="K223" s="82" t="s">
        <v>293</v>
      </c>
      <c r="L223" s="90">
        <f t="shared" si="22"/>
        <v>14.5</v>
      </c>
      <c r="M223" s="82" t="s">
        <v>294</v>
      </c>
      <c r="S223" s="56"/>
    </row>
    <row r="224" spans="1:57" ht="17.399999999999999" x14ac:dyDescent="0.3">
      <c r="B224" s="79"/>
      <c r="C224" s="80" t="s">
        <v>297</v>
      </c>
      <c r="D224" s="79"/>
      <c r="E224" s="79"/>
      <c r="F224" s="822">
        <f t="shared" ref="F224:F229" si="23">BD11</f>
        <v>6</v>
      </c>
      <c r="G224" s="82" t="s">
        <v>293</v>
      </c>
      <c r="H224" s="90">
        <f t="shared" si="21"/>
        <v>14.5</v>
      </c>
      <c r="I224" s="82" t="s">
        <v>294</v>
      </c>
      <c r="J224" s="823"/>
      <c r="K224" s="82" t="s">
        <v>293</v>
      </c>
      <c r="L224" s="90">
        <f t="shared" si="22"/>
        <v>14.5</v>
      </c>
      <c r="M224" s="82" t="s">
        <v>294</v>
      </c>
      <c r="S224" s="56"/>
    </row>
    <row r="225" spans="1:57" s="5" customFormat="1" ht="17.399999999999999" x14ac:dyDescent="0.3">
      <c r="A225" s="884"/>
      <c r="B225" s="79"/>
      <c r="C225" s="80" t="s">
        <v>334</v>
      </c>
      <c r="D225" s="79"/>
      <c r="E225" s="79"/>
      <c r="F225" s="822">
        <f t="shared" si="23"/>
        <v>4</v>
      </c>
      <c r="G225" s="82" t="s">
        <v>293</v>
      </c>
      <c r="H225" s="90">
        <f t="shared" si="21"/>
        <v>14.5</v>
      </c>
      <c r="I225" s="82" t="s">
        <v>294</v>
      </c>
      <c r="J225" s="823"/>
      <c r="K225" s="82" t="s">
        <v>293</v>
      </c>
      <c r="L225" s="90">
        <f t="shared" si="22"/>
        <v>14.5</v>
      </c>
      <c r="M225" s="82" t="s">
        <v>294</v>
      </c>
      <c r="N225"/>
      <c r="O225"/>
      <c r="P225"/>
      <c r="Q225"/>
      <c r="R225"/>
      <c r="S225" s="56"/>
      <c r="T225"/>
      <c r="U225"/>
      <c r="AE225"/>
      <c r="AF225"/>
      <c r="AG225"/>
      <c r="AH225"/>
      <c r="AI225"/>
      <c r="AJ225"/>
      <c r="AK225"/>
      <c r="AL225"/>
      <c r="AM225"/>
      <c r="AN225"/>
      <c r="AO225"/>
      <c r="AP225"/>
      <c r="AQ225"/>
      <c r="AR225"/>
      <c r="AS225"/>
      <c r="AT225"/>
      <c r="AU225"/>
      <c r="AV225"/>
      <c r="AW225"/>
      <c r="AX225"/>
      <c r="AY225"/>
      <c r="AZ225"/>
      <c r="BA225"/>
      <c r="BB225"/>
      <c r="BC225"/>
      <c r="BD225"/>
      <c r="BE225"/>
    </row>
    <row r="226" spans="1:57" ht="17.399999999999999" x14ac:dyDescent="0.3">
      <c r="B226" s="79"/>
      <c r="C226" s="80" t="s">
        <v>335</v>
      </c>
      <c r="D226" s="79"/>
      <c r="E226" s="79"/>
      <c r="F226" s="822">
        <f t="shared" si="23"/>
        <v>18</v>
      </c>
      <c r="G226" s="82" t="s">
        <v>293</v>
      </c>
      <c r="H226" s="90">
        <f t="shared" si="21"/>
        <v>14.5</v>
      </c>
      <c r="I226" s="82" t="s">
        <v>294</v>
      </c>
      <c r="J226" s="823"/>
      <c r="K226" s="82" t="s">
        <v>293</v>
      </c>
      <c r="L226" s="90">
        <f t="shared" si="22"/>
        <v>14.5</v>
      </c>
      <c r="M226" s="82" t="s">
        <v>294</v>
      </c>
      <c r="S226" s="56"/>
    </row>
    <row r="227" spans="1:57" ht="17.399999999999999" x14ac:dyDescent="0.3">
      <c r="B227" s="79"/>
      <c r="C227" s="80" t="s">
        <v>336</v>
      </c>
      <c r="D227" s="79"/>
      <c r="E227" s="79"/>
      <c r="F227" s="822">
        <f t="shared" si="23"/>
        <v>4</v>
      </c>
      <c r="G227" s="82" t="s">
        <v>293</v>
      </c>
      <c r="H227" s="90">
        <f t="shared" si="21"/>
        <v>14.5</v>
      </c>
      <c r="I227" s="82" t="s">
        <v>294</v>
      </c>
      <c r="J227" s="823"/>
      <c r="K227" s="82" t="s">
        <v>293</v>
      </c>
      <c r="L227" s="90">
        <f t="shared" si="22"/>
        <v>14.5</v>
      </c>
      <c r="M227" s="82" t="s">
        <v>294</v>
      </c>
      <c r="N227" s="5"/>
      <c r="O227" s="5"/>
      <c r="P227" s="5"/>
      <c r="Q227" s="5"/>
      <c r="R227" s="5"/>
      <c r="S227" s="56"/>
      <c r="T227" s="5"/>
      <c r="U227" s="5"/>
    </row>
    <row r="228" spans="1:57" ht="17.399999999999999" x14ac:dyDescent="0.3">
      <c r="B228" s="79"/>
      <c r="C228" s="80" t="s">
        <v>337</v>
      </c>
      <c r="D228" s="79"/>
      <c r="E228" s="79"/>
      <c r="F228" s="822">
        <f t="shared" si="23"/>
        <v>6</v>
      </c>
      <c r="G228" s="82" t="s">
        <v>293</v>
      </c>
      <c r="H228" s="90">
        <f t="shared" si="21"/>
        <v>14.5</v>
      </c>
      <c r="I228" s="82" t="s">
        <v>294</v>
      </c>
      <c r="J228" s="823"/>
      <c r="K228" s="82" t="s">
        <v>293</v>
      </c>
      <c r="L228" s="90">
        <f t="shared" si="22"/>
        <v>14.5</v>
      </c>
      <c r="M228" s="82" t="s">
        <v>294</v>
      </c>
      <c r="S228" s="933"/>
    </row>
    <row r="229" spans="1:57" ht="17.399999999999999" x14ac:dyDescent="0.3">
      <c r="B229" s="79"/>
      <c r="C229" s="80" t="s">
        <v>338</v>
      </c>
      <c r="D229" s="79"/>
      <c r="E229" s="79"/>
      <c r="F229" s="822">
        <f t="shared" si="23"/>
        <v>2</v>
      </c>
      <c r="G229" s="82" t="s">
        <v>293</v>
      </c>
      <c r="H229" s="90">
        <f t="shared" si="21"/>
        <v>14.5</v>
      </c>
      <c r="I229" s="82" t="s">
        <v>294</v>
      </c>
      <c r="J229" s="823"/>
      <c r="K229" s="82" t="s">
        <v>293</v>
      </c>
      <c r="L229" s="90">
        <f t="shared" si="22"/>
        <v>14.5</v>
      </c>
      <c r="M229" s="82" t="s">
        <v>294</v>
      </c>
      <c r="S229" s="56"/>
    </row>
    <row r="230" spans="1:57" ht="17.399999999999999" x14ac:dyDescent="0.3">
      <c r="B230" s="79"/>
      <c r="C230" s="80" t="str">
        <f>AE17</f>
        <v>Montering och borttagning av insektsnät</v>
      </c>
      <c r="D230" s="79"/>
      <c r="E230" s="79"/>
      <c r="F230" s="822">
        <f>BD17/2</f>
        <v>15</v>
      </c>
      <c r="G230" s="82" t="s">
        <v>293</v>
      </c>
      <c r="H230" s="90">
        <f t="shared" si="21"/>
        <v>14.5</v>
      </c>
      <c r="I230" s="82" t="s">
        <v>294</v>
      </c>
      <c r="J230" s="823">
        <f>BD17/2</f>
        <v>15</v>
      </c>
      <c r="K230" s="82" t="s">
        <v>293</v>
      </c>
      <c r="L230" s="90">
        <f t="shared" si="22"/>
        <v>14.5</v>
      </c>
      <c r="M230" s="82" t="s">
        <v>294</v>
      </c>
      <c r="S230" s="56"/>
    </row>
    <row r="231" spans="1:57" ht="17.399999999999999" x14ac:dyDescent="0.3">
      <c r="B231" s="79"/>
      <c r="C231" s="80" t="s">
        <v>474</v>
      </c>
      <c r="D231" s="79"/>
      <c r="E231" s="79"/>
      <c r="F231" s="822"/>
      <c r="G231" s="82" t="s">
        <v>293</v>
      </c>
      <c r="H231" s="90">
        <f t="shared" si="21"/>
        <v>14.5</v>
      </c>
      <c r="I231" s="82" t="s">
        <v>294</v>
      </c>
      <c r="J231" s="823">
        <f>BD18</f>
        <v>40</v>
      </c>
      <c r="K231" s="82" t="s">
        <v>293</v>
      </c>
      <c r="L231" s="90">
        <f t="shared" si="22"/>
        <v>14.5</v>
      </c>
      <c r="M231" s="82" t="s">
        <v>294</v>
      </c>
      <c r="S231" s="56"/>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row>
    <row r="232" spans="1:57" ht="17.399999999999999" x14ac:dyDescent="0.3">
      <c r="B232" s="79"/>
      <c r="C232" s="80" t="s">
        <v>341</v>
      </c>
      <c r="D232" s="79"/>
      <c r="E232" s="79"/>
      <c r="F232" s="822">
        <f>BD19</f>
        <v>9</v>
      </c>
      <c r="G232" s="82" t="s">
        <v>293</v>
      </c>
      <c r="H232" s="90">
        <f t="shared" si="21"/>
        <v>14.5</v>
      </c>
      <c r="I232" s="82" t="s">
        <v>294</v>
      </c>
      <c r="J232" s="823"/>
      <c r="K232" s="82" t="s">
        <v>293</v>
      </c>
      <c r="L232" s="90">
        <f t="shared" si="22"/>
        <v>14.5</v>
      </c>
      <c r="M232" s="82" t="s">
        <v>294</v>
      </c>
      <c r="S232" s="56"/>
    </row>
    <row r="233" spans="1:57" ht="17.399999999999999" x14ac:dyDescent="0.3">
      <c r="B233" s="79"/>
      <c r="C233" s="80" t="s">
        <v>38</v>
      </c>
      <c r="D233" s="79"/>
      <c r="E233" s="79"/>
      <c r="F233" s="822">
        <f>BD20/2</f>
        <v>10</v>
      </c>
      <c r="G233" s="82" t="s">
        <v>293</v>
      </c>
      <c r="H233" s="90">
        <f t="shared" si="21"/>
        <v>14.5</v>
      </c>
      <c r="I233" s="82" t="s">
        <v>294</v>
      </c>
      <c r="J233" s="824">
        <f>BD20/2</f>
        <v>10</v>
      </c>
      <c r="K233" s="82" t="s">
        <v>293</v>
      </c>
      <c r="L233" s="90">
        <f t="shared" si="22"/>
        <v>14.5</v>
      </c>
      <c r="M233" s="82" t="s">
        <v>294</v>
      </c>
      <c r="S233" s="56"/>
    </row>
    <row r="234" spans="1:57" ht="17.399999999999999" x14ac:dyDescent="0.3">
      <c r="B234" s="79"/>
      <c r="C234" s="80" t="s">
        <v>458</v>
      </c>
      <c r="D234" s="79"/>
      <c r="E234" s="79"/>
      <c r="F234" s="822">
        <f>BD21</f>
        <v>10</v>
      </c>
      <c r="G234" s="82" t="s">
        <v>293</v>
      </c>
      <c r="H234" s="90">
        <f t="shared" si="21"/>
        <v>14.5</v>
      </c>
      <c r="I234" s="82" t="s">
        <v>294</v>
      </c>
      <c r="J234" s="824"/>
      <c r="K234" s="82" t="s">
        <v>293</v>
      </c>
      <c r="L234" s="90">
        <f t="shared" si="22"/>
        <v>14.5</v>
      </c>
      <c r="M234" s="82" t="s">
        <v>294</v>
      </c>
      <c r="S234" s="56"/>
    </row>
    <row r="235" spans="1:57" ht="17.399999999999999" x14ac:dyDescent="0.3">
      <c r="B235" s="79"/>
      <c r="C235" s="80" t="s">
        <v>306</v>
      </c>
      <c r="D235" s="81"/>
      <c r="E235" s="81"/>
      <c r="F235" s="822">
        <f>BD22/2</f>
        <v>21</v>
      </c>
      <c r="G235" s="82" t="s">
        <v>293</v>
      </c>
      <c r="H235" s="90">
        <f t="shared" si="21"/>
        <v>14.5</v>
      </c>
      <c r="I235" s="82" t="s">
        <v>294</v>
      </c>
      <c r="J235" s="823">
        <f>BD22/2</f>
        <v>21</v>
      </c>
      <c r="K235" s="82" t="s">
        <v>293</v>
      </c>
      <c r="L235" s="90">
        <f t="shared" si="22"/>
        <v>14.5</v>
      </c>
      <c r="M235" s="82" t="s">
        <v>294</v>
      </c>
      <c r="S235" s="56"/>
    </row>
    <row r="236" spans="1:57" ht="17.399999999999999" x14ac:dyDescent="0.3">
      <c r="B236" s="209"/>
      <c r="C236" s="80" t="str">
        <f t="shared" ref="C236:C246" si="24">AE23</f>
        <v>Avslutning</v>
      </c>
      <c r="D236" s="211"/>
      <c r="E236" s="211"/>
      <c r="F236" s="822">
        <f t="shared" ref="F236:F246" si="25">BD23</f>
        <v>4</v>
      </c>
      <c r="G236" s="82" t="s">
        <v>293</v>
      </c>
      <c r="H236" s="90">
        <f t="shared" si="21"/>
        <v>14.5</v>
      </c>
      <c r="I236" s="82" t="s">
        <v>294</v>
      </c>
      <c r="J236" s="824"/>
      <c r="K236" s="82" t="s">
        <v>293</v>
      </c>
      <c r="L236" s="90">
        <f t="shared" si="22"/>
        <v>14.5</v>
      </c>
      <c r="M236" s="82" t="s">
        <v>294</v>
      </c>
      <c r="S236" s="56"/>
    </row>
    <row r="237" spans="1:57" ht="17.399999999999999" x14ac:dyDescent="0.3">
      <c r="B237" s="79"/>
      <c r="C237" s="80" t="str">
        <f t="shared" si="24"/>
        <v>Utbildning, skatter, stöd, odling</v>
      </c>
      <c r="D237" s="79"/>
      <c r="E237" s="79"/>
      <c r="F237" s="822">
        <f t="shared" si="25"/>
        <v>12</v>
      </c>
      <c r="G237" s="82" t="s">
        <v>293</v>
      </c>
      <c r="H237" s="90">
        <f t="shared" si="21"/>
        <v>14.5</v>
      </c>
      <c r="I237" s="82" t="s">
        <v>294</v>
      </c>
      <c r="J237" s="824"/>
      <c r="K237" s="82" t="s">
        <v>293</v>
      </c>
      <c r="L237" s="90">
        <f t="shared" si="22"/>
        <v>14.5</v>
      </c>
      <c r="M237" s="82" t="s">
        <v>294</v>
      </c>
      <c r="S237" s="56"/>
    </row>
    <row r="238" spans="1:57" ht="13.2" customHeight="1" x14ac:dyDescent="0.3">
      <c r="B238" s="79"/>
      <c r="C238" s="80" t="str">
        <f t="shared" si="24"/>
        <v>Bokslut</v>
      </c>
      <c r="D238" s="79"/>
      <c r="E238" s="79"/>
      <c r="F238" s="822">
        <f t="shared" si="25"/>
        <v>6</v>
      </c>
      <c r="G238" s="82" t="s">
        <v>293</v>
      </c>
      <c r="H238" s="90">
        <f t="shared" si="21"/>
        <v>14.5</v>
      </c>
      <c r="I238" s="82" t="s">
        <v>294</v>
      </c>
      <c r="J238" s="824"/>
      <c r="K238" s="82" t="s">
        <v>293</v>
      </c>
      <c r="L238" s="90">
        <f t="shared" si="22"/>
        <v>14.5</v>
      </c>
      <c r="M238" s="82" t="s">
        <v>294</v>
      </c>
      <c r="N238" s="5"/>
      <c r="O238" s="5"/>
      <c r="P238" s="5"/>
      <c r="Q238" s="5"/>
      <c r="R238" s="5"/>
      <c r="S238" s="56"/>
      <c r="T238" s="5"/>
      <c r="U238" s="5"/>
    </row>
    <row r="239" spans="1:57" ht="17.399999999999999" x14ac:dyDescent="0.3">
      <c r="B239" s="79"/>
      <c r="C239" s="80" t="str">
        <f t="shared" si="24"/>
        <v>Företagshälsovård</v>
      </c>
      <c r="D239" s="79"/>
      <c r="E239" s="79"/>
      <c r="F239" s="822">
        <f t="shared" si="25"/>
        <v>2</v>
      </c>
      <c r="G239" s="82" t="s">
        <v>293</v>
      </c>
      <c r="H239" s="90">
        <f t="shared" si="21"/>
        <v>14.5</v>
      </c>
      <c r="I239" s="82" t="s">
        <v>294</v>
      </c>
      <c r="J239" s="824"/>
      <c r="K239" s="82" t="s">
        <v>293</v>
      </c>
      <c r="L239" s="90">
        <f t="shared" si="22"/>
        <v>14.5</v>
      </c>
      <c r="M239" s="82" t="s">
        <v>294</v>
      </c>
      <c r="S239" s="56"/>
    </row>
    <row r="240" spans="1:57" ht="17.399999999999999" x14ac:dyDescent="0.3">
      <c r="B240" s="79"/>
      <c r="C240" s="80" t="str">
        <f t="shared" si="24"/>
        <v>Strategisk planering</v>
      </c>
      <c r="D240" s="79"/>
      <c r="E240" s="79"/>
      <c r="F240" s="822">
        <f t="shared" si="25"/>
        <v>4</v>
      </c>
      <c r="G240" s="82" t="s">
        <v>293</v>
      </c>
      <c r="H240" s="90">
        <f t="shared" si="21"/>
        <v>14.5</v>
      </c>
      <c r="I240" s="82" t="s">
        <v>294</v>
      </c>
      <c r="J240" s="824"/>
      <c r="K240" s="82" t="s">
        <v>293</v>
      </c>
      <c r="L240" s="90">
        <f t="shared" si="22"/>
        <v>14.5</v>
      </c>
      <c r="M240" s="82" t="s">
        <v>294</v>
      </c>
      <c r="S240" s="56"/>
    </row>
    <row r="241" spans="2:19" ht="13.95" customHeight="1" x14ac:dyDescent="0.3">
      <c r="B241" s="79"/>
      <c r="C241" s="80" t="str">
        <f t="shared" si="24"/>
        <v>Inköp av produktionsinsatser</v>
      </c>
      <c r="D241" s="79"/>
      <c r="E241" s="79"/>
      <c r="F241" s="822">
        <f t="shared" si="25"/>
        <v>12</v>
      </c>
      <c r="G241" s="82" t="s">
        <v>293</v>
      </c>
      <c r="H241" s="90">
        <f t="shared" si="21"/>
        <v>14.5</v>
      </c>
      <c r="I241" s="82" t="s">
        <v>294</v>
      </c>
      <c r="J241" s="824"/>
      <c r="K241" s="82" t="s">
        <v>293</v>
      </c>
      <c r="L241" s="90">
        <f t="shared" si="22"/>
        <v>14.5</v>
      </c>
      <c r="M241" s="82" t="s">
        <v>294</v>
      </c>
      <c r="S241" s="56"/>
    </row>
    <row r="242" spans="2:19" ht="17.399999999999999" x14ac:dyDescent="0.3">
      <c r="B242" s="79"/>
      <c r="C242" s="80" t="str">
        <f t="shared" si="24"/>
        <v>Personalledning</v>
      </c>
      <c r="D242" s="79"/>
      <c r="E242" s="79"/>
      <c r="F242" s="822">
        <f t="shared" si="25"/>
        <v>30</v>
      </c>
      <c r="G242" s="82" t="s">
        <v>293</v>
      </c>
      <c r="H242" s="90">
        <f t="shared" si="21"/>
        <v>14.5</v>
      </c>
      <c r="I242" s="82" t="s">
        <v>294</v>
      </c>
      <c r="J242" s="824"/>
      <c r="K242" s="82" t="s">
        <v>293</v>
      </c>
      <c r="L242" s="90">
        <f t="shared" si="22"/>
        <v>14.5</v>
      </c>
      <c r="M242" s="82" t="s">
        <v>294</v>
      </c>
      <c r="S242" s="56"/>
    </row>
    <row r="243" spans="2:19" ht="17.399999999999999" x14ac:dyDescent="0.3">
      <c r="B243" s="79"/>
      <c r="C243" s="80" t="str">
        <f t="shared" si="24"/>
        <v>Marknadsföring</v>
      </c>
      <c r="D243" s="79"/>
      <c r="E243" s="79"/>
      <c r="F243" s="822">
        <f t="shared" si="25"/>
        <v>10</v>
      </c>
      <c r="G243" s="82" t="s">
        <v>293</v>
      </c>
      <c r="H243" s="90">
        <f t="shared" si="21"/>
        <v>14.5</v>
      </c>
      <c r="I243" s="82" t="s">
        <v>294</v>
      </c>
      <c r="J243" s="824"/>
      <c r="K243" s="82" t="s">
        <v>293</v>
      </c>
      <c r="L243" s="90">
        <f t="shared" si="22"/>
        <v>14.5</v>
      </c>
      <c r="M243" s="82" t="s">
        <v>294</v>
      </c>
      <c r="S243" s="56"/>
    </row>
    <row r="244" spans="2:19" ht="17.399999999999999" x14ac:dyDescent="0.3">
      <c r="B244" s="79"/>
      <c r="C244" s="80" t="str">
        <f t="shared" si="24"/>
        <v>Arbetsmoment X</v>
      </c>
      <c r="D244" s="79"/>
      <c r="E244" s="79"/>
      <c r="F244" s="822">
        <f t="shared" si="25"/>
        <v>0</v>
      </c>
      <c r="G244" s="82" t="s">
        <v>293</v>
      </c>
      <c r="H244" s="90">
        <f t="shared" si="21"/>
        <v>14.5</v>
      </c>
      <c r="I244" s="82" t="s">
        <v>294</v>
      </c>
      <c r="J244" s="824"/>
      <c r="K244" s="82" t="s">
        <v>293</v>
      </c>
      <c r="L244" s="90">
        <f t="shared" si="22"/>
        <v>14.5</v>
      </c>
      <c r="M244" s="82" t="s">
        <v>294</v>
      </c>
      <c r="S244" s="56"/>
    </row>
    <row r="245" spans="2:19" ht="17.399999999999999" x14ac:dyDescent="0.3">
      <c r="B245" s="79"/>
      <c r="C245" s="80" t="str">
        <f t="shared" si="24"/>
        <v>Arbetsmoment X</v>
      </c>
      <c r="D245" s="79"/>
      <c r="E245" s="79"/>
      <c r="F245" s="822">
        <f t="shared" si="25"/>
        <v>0</v>
      </c>
      <c r="G245" s="82" t="s">
        <v>293</v>
      </c>
      <c r="H245" s="90">
        <f t="shared" si="21"/>
        <v>14.5</v>
      </c>
      <c r="I245" s="82" t="s">
        <v>294</v>
      </c>
      <c r="J245" s="824"/>
      <c r="K245" s="82" t="s">
        <v>293</v>
      </c>
      <c r="L245" s="90">
        <f t="shared" si="22"/>
        <v>14.5</v>
      </c>
      <c r="M245" s="82" t="s">
        <v>294</v>
      </c>
      <c r="S245" s="56"/>
    </row>
    <row r="246" spans="2:19" ht="17.399999999999999" x14ac:dyDescent="0.3">
      <c r="B246" s="79"/>
      <c r="C246" s="80" t="str">
        <f t="shared" si="24"/>
        <v>Arbetsmoment X</v>
      </c>
      <c r="D246" s="79"/>
      <c r="E246" s="79"/>
      <c r="F246" s="822">
        <f t="shared" si="25"/>
        <v>0</v>
      </c>
      <c r="G246" s="82" t="s">
        <v>293</v>
      </c>
      <c r="H246" s="90">
        <f t="shared" si="21"/>
        <v>14.5</v>
      </c>
      <c r="I246" s="82" t="s">
        <v>294</v>
      </c>
      <c r="J246" s="824"/>
      <c r="K246" s="82" t="s">
        <v>293</v>
      </c>
      <c r="L246" s="90">
        <f t="shared" si="22"/>
        <v>14.5</v>
      </c>
      <c r="M246" s="82" t="s">
        <v>294</v>
      </c>
      <c r="S246" s="56"/>
    </row>
    <row r="247" spans="2:19" ht="17.399999999999999" x14ac:dyDescent="0.3">
      <c r="B247" s="79"/>
      <c r="C247" s="814" t="s">
        <v>54</v>
      </c>
      <c r="D247" s="88"/>
      <c r="E247" s="88"/>
      <c r="F247" s="815">
        <f>SUM(F219:F246)</f>
        <v>205</v>
      </c>
      <c r="G247" s="88" t="s">
        <v>293</v>
      </c>
      <c r="H247" s="816">
        <f>F247*H219</f>
        <v>2972.5</v>
      </c>
      <c r="I247" s="88" t="s">
        <v>57</v>
      </c>
      <c r="J247" s="825">
        <f>SUM(J219:J246)</f>
        <v>91</v>
      </c>
      <c r="K247" s="88" t="s">
        <v>293</v>
      </c>
      <c r="L247" s="816">
        <f>J247*L219</f>
        <v>1319.5</v>
      </c>
      <c r="M247" s="88" t="s">
        <v>57</v>
      </c>
      <c r="S247" s="56"/>
    </row>
    <row r="248" spans="2:19" x14ac:dyDescent="0.25">
      <c r="B248" s="79"/>
      <c r="C248" s="80"/>
      <c r="D248" s="79"/>
      <c r="E248" s="79"/>
      <c r="F248" s="79"/>
      <c r="G248" s="79"/>
      <c r="H248" s="79"/>
      <c r="I248" s="79"/>
      <c r="J248" s="79"/>
      <c r="K248" s="79"/>
      <c r="L248" s="79"/>
      <c r="M248" s="79"/>
    </row>
    <row r="249" spans="2:19" x14ac:dyDescent="0.25">
      <c r="C249" s="809"/>
    </row>
    <row r="257" spans="1:57" s="5" customFormat="1" x14ac:dyDescent="0.25">
      <c r="A257" s="884"/>
      <c r="B257"/>
      <c r="C257"/>
      <c r="D257"/>
      <c r="E257"/>
      <c r="F257"/>
      <c r="G257"/>
      <c r="H257"/>
      <c r="I257"/>
      <c r="J257"/>
      <c r="K257"/>
      <c r="L257"/>
      <c r="M257"/>
      <c r="N257"/>
      <c r="O257"/>
      <c r="P257"/>
      <c r="Q257"/>
      <c r="R257"/>
      <c r="S257"/>
      <c r="T257"/>
      <c r="U257"/>
      <c r="AE257"/>
      <c r="AF257"/>
      <c r="AG257"/>
      <c r="AH257"/>
      <c r="AI257"/>
      <c r="AJ257"/>
      <c r="AK257"/>
      <c r="AL257"/>
      <c r="AM257"/>
      <c r="AN257"/>
      <c r="AO257"/>
      <c r="AP257"/>
      <c r="AQ257"/>
      <c r="AR257"/>
      <c r="AS257"/>
      <c r="AT257"/>
      <c r="AU257"/>
      <c r="AV257"/>
      <c r="AW257"/>
      <c r="AX257"/>
      <c r="AY257"/>
      <c r="AZ257"/>
      <c r="BA257"/>
      <c r="BB257"/>
      <c r="BC257"/>
      <c r="BD257"/>
      <c r="BE257"/>
    </row>
    <row r="259" spans="1:57" x14ac:dyDescent="0.25">
      <c r="N259" s="5"/>
      <c r="O259" s="5"/>
      <c r="P259" s="5"/>
      <c r="Q259" s="5"/>
      <c r="R259" s="5"/>
      <c r="S259" s="5"/>
      <c r="T259" s="5"/>
      <c r="U259" s="5"/>
    </row>
    <row r="263" spans="1:57" x14ac:dyDescent="0.2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row>
  </sheetData>
  <mergeCells count="77">
    <mergeCell ref="B59:D59"/>
    <mergeCell ref="B64:D64"/>
    <mergeCell ref="B66:D66"/>
    <mergeCell ref="B68:D68"/>
    <mergeCell ref="B4:L5"/>
    <mergeCell ref="B2:C2"/>
    <mergeCell ref="AF5:AG5"/>
    <mergeCell ref="AH5:AI5"/>
    <mergeCell ref="AJ5:AK5"/>
    <mergeCell ref="B29:E29"/>
    <mergeCell ref="AZ5:BA5"/>
    <mergeCell ref="BB5:BC5"/>
    <mergeCell ref="O76:Q76"/>
    <mergeCell ref="T76:U76"/>
    <mergeCell ref="O85:Q85"/>
    <mergeCell ref="AN5:AO5"/>
    <mergeCell ref="AP5:AQ5"/>
    <mergeCell ref="AR5:AS5"/>
    <mergeCell ref="AT5:AU5"/>
    <mergeCell ref="AV5:AW5"/>
    <mergeCell ref="AX5:AY5"/>
    <mergeCell ref="AL5:AM5"/>
    <mergeCell ref="L136:M136"/>
    <mergeCell ref="F143:G143"/>
    <mergeCell ref="H143:I143"/>
    <mergeCell ref="J143:K143"/>
    <mergeCell ref="F153:G153"/>
    <mergeCell ref="H153:I153"/>
    <mergeCell ref="J153:K153"/>
    <mergeCell ref="F138:G138"/>
    <mergeCell ref="H138:I138"/>
    <mergeCell ref="J138:K138"/>
    <mergeCell ref="H172:I172"/>
    <mergeCell ref="J172:K172"/>
    <mergeCell ref="F185:G185"/>
    <mergeCell ref="H185:I185"/>
    <mergeCell ref="J185:K185"/>
    <mergeCell ref="H193:I193"/>
    <mergeCell ref="J193:K193"/>
    <mergeCell ref="B215:M215"/>
    <mergeCell ref="E217:G217"/>
    <mergeCell ref="H217:I217"/>
    <mergeCell ref="J217:K217"/>
    <mergeCell ref="L217:M217"/>
    <mergeCell ref="B216:F216"/>
    <mergeCell ref="B93:E93"/>
    <mergeCell ref="B94:E94"/>
    <mergeCell ref="B95:D95"/>
    <mergeCell ref="B98:C98"/>
    <mergeCell ref="F193:G193"/>
    <mergeCell ref="F172:G172"/>
    <mergeCell ref="C108:D108"/>
    <mergeCell ref="B112:D112"/>
    <mergeCell ref="C115:D115"/>
    <mergeCell ref="B119:C119"/>
    <mergeCell ref="C122:D122"/>
    <mergeCell ref="B129:D129"/>
    <mergeCell ref="B131:D131"/>
    <mergeCell ref="B133:D133"/>
    <mergeCell ref="B136:E136"/>
    <mergeCell ref="B124:D124"/>
    <mergeCell ref="C101:D101"/>
    <mergeCell ref="B105:D105"/>
    <mergeCell ref="J8:K8"/>
    <mergeCell ref="F8:G8"/>
    <mergeCell ref="B54:C54"/>
    <mergeCell ref="C57:D57"/>
    <mergeCell ref="B13:D13"/>
    <mergeCell ref="B28:E28"/>
    <mergeCell ref="B30:D30"/>
    <mergeCell ref="B33:C33"/>
    <mergeCell ref="C36:D36"/>
    <mergeCell ref="B40:D40"/>
    <mergeCell ref="C43:D43"/>
    <mergeCell ref="B47:D47"/>
    <mergeCell ref="C50:D50"/>
    <mergeCell ref="B78:D78"/>
  </mergeCells>
  <hyperlinks>
    <hyperlink ref="B2" location="Tilakokonaisuus!A1" display="PALAA ETUSIVULLE" xr:uid="{8108FF00-14E4-E14B-928E-14A7A38D0206}"/>
    <hyperlink ref="B2:C2" location="'Gårdens info'!A1" display="TILL FRAMSIDAN" xr:uid="{B6F95A4C-334C-4047-BDBF-0DCE66520E9E}"/>
    <hyperlink ref="B93:E93" location="'Gårdens info'!C97" display="ALLMÄNNA KOSTNADER, kålens andel" xr:uid="{F72C9C92-0868-1C4E-AEF1-1E0CB7330656}"/>
    <hyperlink ref="B98:C98" location="Omaisuus!B15" display="RAKENNUKSET" xr:uid="{C0368314-7899-2E4E-9547-C5938A6FCAB5}"/>
    <hyperlink ref="B105:D105" location="Omaisuus!B28" display="KONEET JA KALUSTO" xr:uid="{0B425FF8-9C25-0C4C-9C47-7ED34F21BA43}"/>
    <hyperlink ref="B112:D112" location="Omaisuus!B51" display="PIDEMPIAIKAISET TUOTANTOVÄLINEET" xr:uid="{1B63C08E-B3E8-2240-9467-166D2AF22FCC}"/>
    <hyperlink ref="B119:C119" location="Omaisuus!B70" display="SALAOJAT" xr:uid="{D126BC23-2416-2148-999F-2309844077A8}"/>
    <hyperlink ref="L136" location="'Avomaan mansikka'!B2" display="PALAA SIVUN YLÄLAITAAN" xr:uid="{6C40980D-63AC-C742-B0E5-033499AE0A6B}"/>
    <hyperlink ref="L136:M136" location="Insäktsnät!A1" display="TILL SIDANS BÖRJAN" xr:uid="{3DD28F32-4836-F44A-A181-1F28BDBDFC35}"/>
    <hyperlink ref="B216" location="Keräkaali!AP2" display="Tästä pääset kuukausittaiseen työnkäyttötaulukkoon." xr:uid="{9502B4BE-B03E-0C46-AC5C-92608C527875}"/>
    <hyperlink ref="B28:E28" location="'Gårdens info'!C97" display="ALLMÄNNA KOSTNADER, kålens andel" xr:uid="{6A96BC65-3BC8-C54E-84D9-50F2B2501517}"/>
    <hyperlink ref="B33:C33" location="Omaisuus!B15" display="RAKENNUKSET" xr:uid="{A21A783A-56A8-3D44-8996-03E5267C8D22}"/>
    <hyperlink ref="B40:D40" location="Omaisuus!B28" display="KONEET JA KALUSTO" xr:uid="{16AC1DD2-E8F3-5F4F-911A-FCD07175695A}"/>
    <hyperlink ref="B47:D47" location="Omaisuus!B51" display="PIDEMPIAIKAISET TUOTANTOVÄLINEET" xr:uid="{5356C8BB-A542-104E-B790-BAD30D30D289}"/>
    <hyperlink ref="B54:C54" location="Omaisuus!B70" display="SALAOJAT" xr:uid="{CD3C4A95-B1CE-EC49-8697-300AE1AA827F}"/>
    <hyperlink ref="B216:F216" location="Insäktsnät!AP2" display="Här kommer du till den månatliga arbetsanvändningstabellen" xr:uid="{A1395462-3B4A-458E-A673-81C2443944EE}"/>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A53C-4254-EB48-91A9-5D92A4ACF03E}">
  <sheetPr>
    <tabColor rgb="FFFFFC91"/>
  </sheetPr>
  <dimension ref="A1:BE201"/>
  <sheetViews>
    <sheetView zoomScale="67" zoomScaleNormal="85" workbookViewId="0">
      <selection activeCell="B5" sqref="B5"/>
    </sheetView>
  </sheetViews>
  <sheetFormatPr defaultColWidth="11.44140625" defaultRowHeight="13.2" x14ac:dyDescent="0.25"/>
  <cols>
    <col min="1" max="1" width="5.33203125" style="101"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31" max="31" width="61" customWidth="1"/>
    <col min="57" max="57" width="15" customWidth="1"/>
  </cols>
  <sheetData>
    <row r="1" spans="1:57" s="101" customFormat="1" ht="22.8" x14ac:dyDescent="0.4">
      <c r="B1" s="312" t="s">
        <v>13</v>
      </c>
    </row>
    <row r="2" spans="1:57" ht="27" customHeight="1" x14ac:dyDescent="0.4">
      <c r="B2" s="1094" t="s">
        <v>201</v>
      </c>
      <c r="C2" s="1094"/>
      <c r="F2" s="69"/>
      <c r="G2" s="69"/>
      <c r="H2" s="69"/>
      <c r="AE2" s="804" t="s">
        <v>310</v>
      </c>
      <c r="AG2" s="804"/>
    </row>
    <row r="3" spans="1:57" ht="27" customHeight="1" x14ac:dyDescent="0.4">
      <c r="B3" s="189"/>
      <c r="C3" s="189"/>
      <c r="AE3" s="56" t="s">
        <v>311</v>
      </c>
      <c r="AF3" s="804"/>
      <c r="AG3" s="804"/>
    </row>
    <row r="4" spans="1:57" ht="49.2" customHeight="1" thickBot="1" x14ac:dyDescent="0.35">
      <c r="B4" s="1109" t="s">
        <v>375</v>
      </c>
      <c r="C4" s="1109"/>
      <c r="D4" s="1109"/>
      <c r="E4" s="1109"/>
      <c r="F4" s="1109"/>
      <c r="G4" s="1109"/>
      <c r="H4" s="1109"/>
      <c r="I4" s="1109"/>
      <c r="J4" s="1109"/>
      <c r="K4" s="1109"/>
      <c r="L4" s="1109"/>
    </row>
    <row r="5" spans="1:57" ht="27" customHeight="1" thickBot="1" x14ac:dyDescent="0.35">
      <c r="B5" s="189"/>
      <c r="C5" s="189"/>
      <c r="AE5" s="842"/>
      <c r="AF5" s="1110" t="s">
        <v>312</v>
      </c>
      <c r="AG5" s="1110"/>
      <c r="AH5" s="1110" t="s">
        <v>313</v>
      </c>
      <c r="AI5" s="1110"/>
      <c r="AJ5" s="1110" t="s">
        <v>314</v>
      </c>
      <c r="AK5" s="1110"/>
      <c r="AL5" s="1110" t="s">
        <v>315</v>
      </c>
      <c r="AM5" s="1110"/>
      <c r="AN5" s="1110" t="s">
        <v>316</v>
      </c>
      <c r="AO5" s="1110"/>
      <c r="AP5" s="1110" t="s">
        <v>317</v>
      </c>
      <c r="AQ5" s="1110"/>
      <c r="AR5" s="1110" t="s">
        <v>318</v>
      </c>
      <c r="AS5" s="1110"/>
      <c r="AT5" s="1110" t="s">
        <v>319</v>
      </c>
      <c r="AU5" s="1110"/>
      <c r="AV5" s="1110" t="s">
        <v>376</v>
      </c>
      <c r="AW5" s="1110"/>
      <c r="AX5" s="1110" t="s">
        <v>321</v>
      </c>
      <c r="AY5" s="1110"/>
      <c r="AZ5" s="1110" t="s">
        <v>322</v>
      </c>
      <c r="BA5" s="1110"/>
      <c r="BB5" s="1110" t="s">
        <v>323</v>
      </c>
      <c r="BC5" s="1110"/>
      <c r="BD5" s="843" t="s">
        <v>324</v>
      </c>
      <c r="BE5" s="844"/>
    </row>
    <row r="6" spans="1:57" ht="27" customHeight="1" x14ac:dyDescent="0.4">
      <c r="B6" s="256" t="s">
        <v>475</v>
      </c>
      <c r="C6" s="221"/>
      <c r="D6" s="222"/>
      <c r="E6" s="222"/>
      <c r="F6" s="222"/>
      <c r="G6" s="222"/>
      <c r="H6" s="222"/>
      <c r="I6" s="222"/>
      <c r="J6" s="222"/>
      <c r="K6" s="222"/>
      <c r="L6" s="222"/>
      <c r="M6" s="223"/>
      <c r="N6" s="368"/>
      <c r="O6" s="222"/>
      <c r="P6" s="222"/>
      <c r="Q6" s="222"/>
      <c r="R6" s="222"/>
      <c r="S6" s="222"/>
      <c r="T6" s="222"/>
      <c r="U6" s="223"/>
      <c r="AA6" s="809"/>
      <c r="AE6" s="291" t="s">
        <v>326</v>
      </c>
      <c r="AF6" s="826"/>
      <c r="AG6" s="826"/>
      <c r="AH6" s="827">
        <v>1</v>
      </c>
      <c r="AI6" s="827"/>
      <c r="AJ6" s="827">
        <v>1</v>
      </c>
      <c r="AK6" s="827"/>
      <c r="AL6" s="826">
        <v>1</v>
      </c>
      <c r="AM6" s="826"/>
      <c r="AN6" s="826">
        <v>1</v>
      </c>
      <c r="AO6" s="826"/>
      <c r="AP6" s="826">
        <v>1</v>
      </c>
      <c r="AQ6" s="826"/>
      <c r="AR6" s="826">
        <v>1</v>
      </c>
      <c r="AS6" s="826"/>
      <c r="AT6" s="826">
        <v>1</v>
      </c>
      <c r="AU6" s="826"/>
      <c r="AV6" s="826">
        <v>1</v>
      </c>
      <c r="AW6" s="826"/>
      <c r="AX6" s="826">
        <v>1</v>
      </c>
      <c r="AY6" s="826"/>
      <c r="AZ6" s="826">
        <v>1</v>
      </c>
      <c r="BA6" s="826"/>
      <c r="BB6" s="826">
        <v>1</v>
      </c>
      <c r="BC6" s="826"/>
      <c r="BD6" s="845">
        <f>SUM(AF6:BB6)</f>
        <v>11</v>
      </c>
      <c r="BE6" s="846" t="s">
        <v>327</v>
      </c>
    </row>
    <row r="7" spans="1:57" ht="27" customHeight="1" x14ac:dyDescent="0.4">
      <c r="B7" s="224"/>
      <c r="C7" s="225"/>
      <c r="D7" s="116"/>
      <c r="E7" s="116"/>
      <c r="F7" s="116"/>
      <c r="G7" s="116"/>
      <c r="H7" s="116"/>
      <c r="I7" s="116"/>
      <c r="J7" s="116"/>
      <c r="K7" s="116"/>
      <c r="L7" s="116"/>
      <c r="M7" s="226"/>
      <c r="N7" s="369"/>
      <c r="O7" s="116"/>
      <c r="P7" s="116"/>
      <c r="Q7" s="116"/>
      <c r="R7" s="116"/>
      <c r="S7" s="116"/>
      <c r="T7" s="116"/>
      <c r="U7" s="226"/>
      <c r="AA7" s="809"/>
      <c r="AE7" s="291" t="s">
        <v>328</v>
      </c>
      <c r="AF7" s="56"/>
      <c r="AG7" s="56"/>
      <c r="AH7" s="56"/>
      <c r="AI7" s="56"/>
      <c r="AJ7" s="56"/>
      <c r="AK7" s="56"/>
      <c r="AL7" s="56"/>
      <c r="AM7" s="56"/>
      <c r="AN7" s="56"/>
      <c r="AO7" s="56"/>
      <c r="AP7" s="56"/>
      <c r="AQ7" s="56"/>
      <c r="AR7" s="56"/>
      <c r="AS7" s="56"/>
      <c r="AT7" s="56"/>
      <c r="AU7" s="56"/>
      <c r="AV7" s="56"/>
      <c r="AW7" s="56"/>
      <c r="AX7" s="56"/>
      <c r="AY7" s="56"/>
      <c r="AZ7" s="826">
        <v>1</v>
      </c>
      <c r="BA7" s="826"/>
      <c r="BB7" s="56"/>
      <c r="BC7" s="56"/>
      <c r="BD7" s="845">
        <f t="shared" ref="BD7:BD26" si="0">SUM(AF7:BB7)</f>
        <v>1</v>
      </c>
      <c r="BE7" s="846"/>
    </row>
    <row r="8" spans="1:57" ht="21" x14ac:dyDescent="0.4">
      <c r="B8" s="257" t="s">
        <v>204</v>
      </c>
      <c r="C8" s="225"/>
      <c r="D8" s="116"/>
      <c r="E8" s="119"/>
      <c r="F8" s="119"/>
      <c r="G8" s="119"/>
      <c r="H8" s="119"/>
      <c r="I8" s="116"/>
      <c r="J8" s="116"/>
      <c r="K8" s="116"/>
      <c r="L8" s="116"/>
      <c r="M8" s="226"/>
      <c r="N8" s="257" t="s">
        <v>205</v>
      </c>
      <c r="O8" s="116"/>
      <c r="P8" s="116"/>
      <c r="Q8" s="116"/>
      <c r="R8" s="116"/>
      <c r="S8" s="116"/>
      <c r="T8" s="116"/>
      <c r="U8" s="239"/>
      <c r="AA8" s="809"/>
      <c r="AE8" s="291" t="s">
        <v>329</v>
      </c>
      <c r="AF8" s="56"/>
      <c r="AG8" s="56"/>
      <c r="AH8" s="56"/>
      <c r="AI8" s="56"/>
      <c r="AJ8" s="56"/>
      <c r="AK8" s="56"/>
      <c r="AL8" s="56"/>
      <c r="AM8" s="826">
        <v>3</v>
      </c>
      <c r="AN8" s="826"/>
      <c r="AO8" s="56"/>
      <c r="AP8" s="56"/>
      <c r="AQ8" s="56"/>
      <c r="AR8" s="56"/>
      <c r="AS8" s="56"/>
      <c r="AT8" s="56"/>
      <c r="AU8" s="56"/>
      <c r="AV8" s="56"/>
      <c r="AW8" s="56"/>
      <c r="AX8" s="56"/>
      <c r="AY8" s="56"/>
      <c r="AZ8" s="56"/>
      <c r="BA8" s="56"/>
      <c r="BB8" s="56"/>
      <c r="BC8" s="56"/>
      <c r="BD8" s="845">
        <f t="shared" si="0"/>
        <v>3</v>
      </c>
      <c r="BE8" s="846"/>
    </row>
    <row r="9" spans="1:57" ht="21" customHeight="1" thickBot="1" x14ac:dyDescent="0.35">
      <c r="B9" s="227"/>
      <c r="C9" s="228" t="s">
        <v>205</v>
      </c>
      <c r="D9" s="119"/>
      <c r="E9" s="119"/>
      <c r="F9" s="229">
        <f>H9*'Gårdens info'!G14</f>
        <v>29200</v>
      </c>
      <c r="G9" s="119" t="s">
        <v>57</v>
      </c>
      <c r="H9" s="508">
        <f>IF('Gårdens info'!G14&gt;0,(('Gårdens info'!D14*'Gårdens info'!G14*S10*T10)+('Gårdens info'!D14*'Gårdens info'!G14*S11*T11)+('Gårdens info'!D14*'Gårdens info'!G14*S12*T12)+('Gårdens info'!D14*'Gårdens info'!G14*S13*T13)+('Gårdens info'!D14*'Gårdens info'!G14*S14*T14)+('Gårdens info'!D14*'Gårdens info'!G14*S15*T15)+('Gårdens info'!D14*'Gårdens info'!G14*S16*T16)+('Gårdens info'!D14*'Gårdens info'!G14*S17*T17))/(('Gårdens info'!D14*'Gårdens info'!G14)),0)</f>
        <v>0.73</v>
      </c>
      <c r="I9" s="119" t="s">
        <v>206</v>
      </c>
      <c r="J9" s="229">
        <f>F9*'Gårdens info'!D14</f>
        <v>58400</v>
      </c>
      <c r="K9" s="119" t="s">
        <v>476</v>
      </c>
      <c r="L9" s="119"/>
      <c r="M9" s="226"/>
      <c r="N9" s="369"/>
      <c r="O9" s="1095" t="s">
        <v>208</v>
      </c>
      <c r="P9" s="1095"/>
      <c r="Q9" s="1095"/>
      <c r="R9" s="230"/>
      <c r="S9" s="926" t="s">
        <v>209</v>
      </c>
      <c r="T9" s="1086" t="s">
        <v>210</v>
      </c>
      <c r="U9" s="1087"/>
      <c r="AA9" s="809"/>
      <c r="AE9" s="291" t="s">
        <v>477</v>
      </c>
      <c r="AF9" s="56"/>
      <c r="AG9" s="56"/>
      <c r="AH9" s="56"/>
      <c r="AI9" s="56"/>
      <c r="AJ9" s="56"/>
      <c r="AK9" s="56"/>
      <c r="AL9" s="56"/>
      <c r="AM9" s="826">
        <v>4</v>
      </c>
      <c r="AN9" s="826"/>
      <c r="AO9" s="834"/>
      <c r="AP9" s="835"/>
      <c r="AQ9" s="56"/>
      <c r="AR9" s="56"/>
      <c r="AS9" s="56"/>
      <c r="AT9" s="56"/>
      <c r="AU9" s="56"/>
      <c r="AV9" s="56"/>
      <c r="AW9" s="56"/>
      <c r="AX9" s="56"/>
      <c r="AY9" s="56"/>
      <c r="AZ9" s="56"/>
      <c r="BA9" s="56"/>
      <c r="BB9" s="56"/>
      <c r="BC9" s="56"/>
      <c r="BD9" s="845">
        <f t="shared" si="0"/>
        <v>4</v>
      </c>
      <c r="BE9" s="846"/>
    </row>
    <row r="10" spans="1:57" ht="18" thickBot="1" x14ac:dyDescent="0.35">
      <c r="B10" s="227"/>
      <c r="C10" s="119" t="s">
        <v>211</v>
      </c>
      <c r="D10" s="119"/>
      <c r="E10" s="119"/>
      <c r="F10" s="229">
        <f>IF('Gårdens info'!D14&gt;0,Stöd!L15,0)</f>
        <v>1027.0999999999999</v>
      </c>
      <c r="G10" s="119" t="s">
        <v>57</v>
      </c>
      <c r="H10" s="508">
        <f>IF('Gårdens info'!G14&gt;0,F10/'Gårdens info'!G14,0)</f>
        <v>2.5677499999999999E-2</v>
      </c>
      <c r="I10" s="119" t="s">
        <v>206</v>
      </c>
      <c r="J10" s="229">
        <f>F10*'Gårdens info'!D14</f>
        <v>2054.1999999999998</v>
      </c>
      <c r="K10" s="119" t="s">
        <v>476</v>
      </c>
      <c r="L10" s="119"/>
      <c r="M10" s="226"/>
      <c r="N10" s="369"/>
      <c r="O10" s="119">
        <v>1</v>
      </c>
      <c r="P10" s="119" t="s">
        <v>212</v>
      </c>
      <c r="Q10" s="119" t="s">
        <v>213</v>
      </c>
      <c r="R10" s="119"/>
      <c r="S10" s="377">
        <v>0</v>
      </c>
      <c r="T10" s="255"/>
      <c r="U10" s="239" t="s">
        <v>206</v>
      </c>
      <c r="AA10" s="809"/>
      <c r="AE10" s="291" t="s">
        <v>332</v>
      </c>
      <c r="AF10" s="56"/>
      <c r="AG10" s="56"/>
      <c r="AH10" s="56"/>
      <c r="AI10" s="56"/>
      <c r="AJ10" s="56"/>
      <c r="AK10" s="56"/>
      <c r="AL10" s="56"/>
      <c r="AM10" s="56"/>
      <c r="AN10" s="826">
        <v>2</v>
      </c>
      <c r="AO10" s="56"/>
      <c r="AP10" s="56"/>
      <c r="AQ10" s="56"/>
      <c r="AR10" s="56"/>
      <c r="AS10" s="56"/>
      <c r="AT10" s="56"/>
      <c r="AU10" s="56"/>
      <c r="AV10" s="56"/>
      <c r="AW10" s="56"/>
      <c r="AX10" s="56"/>
      <c r="AY10" s="56"/>
      <c r="AZ10" s="56"/>
      <c r="BA10" s="56"/>
      <c r="BB10" s="56"/>
      <c r="BC10" s="56"/>
      <c r="BD10" s="845">
        <f t="shared" si="0"/>
        <v>2</v>
      </c>
      <c r="BE10" s="846"/>
    </row>
    <row r="11" spans="1:57" s="5" customFormat="1" ht="21.6" thickBot="1" x14ac:dyDescent="0.45">
      <c r="A11" s="305"/>
      <c r="B11" s="1061" t="s">
        <v>214</v>
      </c>
      <c r="C11" s="1043"/>
      <c r="D11" s="1043"/>
      <c r="E11" s="262"/>
      <c r="F11" s="266">
        <f>F9+F10</f>
        <v>30227.1</v>
      </c>
      <c r="G11" s="267" t="s">
        <v>57</v>
      </c>
      <c r="H11" s="507">
        <f>H9+H10</f>
        <v>0.7556775</v>
      </c>
      <c r="I11" s="267" t="s">
        <v>206</v>
      </c>
      <c r="J11" s="269">
        <f>J9+J10</f>
        <v>60454.2</v>
      </c>
      <c r="K11" s="267" t="s">
        <v>476</v>
      </c>
      <c r="L11" s="267"/>
      <c r="M11" s="259"/>
      <c r="N11" s="370"/>
      <c r="O11" s="119">
        <v>0.25</v>
      </c>
      <c r="P11" s="119" t="s">
        <v>212</v>
      </c>
      <c r="Q11" s="119" t="s">
        <v>333</v>
      </c>
      <c r="R11" s="119"/>
      <c r="S11" s="379">
        <v>0</v>
      </c>
      <c r="T11" s="255"/>
      <c r="U11" s="239" t="s">
        <v>206</v>
      </c>
      <c r="AA11" s="809"/>
      <c r="AE11" s="291" t="s">
        <v>334</v>
      </c>
      <c r="AF11" s="56"/>
      <c r="AG11" s="56"/>
      <c r="AH11" s="56"/>
      <c r="AI11" s="56"/>
      <c r="AJ11" s="56"/>
      <c r="AK11" s="56"/>
      <c r="AL11" s="56"/>
      <c r="AM11" s="56"/>
      <c r="AN11" s="826">
        <v>4</v>
      </c>
      <c r="AO11" s="56"/>
      <c r="AP11" s="56"/>
      <c r="AQ11" s="120"/>
      <c r="AR11" s="120"/>
      <c r="AS11" s="56"/>
      <c r="AT11" s="56"/>
      <c r="AU11" s="56"/>
      <c r="AV11" s="56"/>
      <c r="AW11" s="56"/>
      <c r="AX11" s="56"/>
      <c r="AY11" s="56"/>
      <c r="AZ11" s="56"/>
      <c r="BA11" s="56"/>
      <c r="BB11" s="56"/>
      <c r="BC11" s="56"/>
      <c r="BD11" s="845">
        <f t="shared" si="0"/>
        <v>4</v>
      </c>
      <c r="BE11" s="846"/>
    </row>
    <row r="12" spans="1:57" s="5" customFormat="1" ht="21.6" thickBot="1" x14ac:dyDescent="0.45">
      <c r="A12" s="305"/>
      <c r="B12" s="288"/>
      <c r="C12" s="270"/>
      <c r="D12" s="270"/>
      <c r="E12" s="262"/>
      <c r="F12" s="266"/>
      <c r="G12" s="267"/>
      <c r="H12" s="268"/>
      <c r="I12" s="267"/>
      <c r="J12" s="269"/>
      <c r="K12" s="267"/>
      <c r="L12" s="267"/>
      <c r="M12" s="259"/>
      <c r="N12" s="370"/>
      <c r="O12" s="119">
        <v>0.5</v>
      </c>
      <c r="P12" s="119" t="s">
        <v>212</v>
      </c>
      <c r="Q12" s="119" t="s">
        <v>213</v>
      </c>
      <c r="R12" s="119"/>
      <c r="S12" s="379">
        <v>0.5</v>
      </c>
      <c r="T12" s="255">
        <v>0.74</v>
      </c>
      <c r="U12" s="239" t="s">
        <v>206</v>
      </c>
      <c r="AA12" s="809"/>
      <c r="AE12" s="291" t="s">
        <v>335</v>
      </c>
      <c r="AF12" s="818"/>
      <c r="AG12" s="818"/>
      <c r="AH12" s="818"/>
      <c r="AI12" s="818"/>
      <c r="AJ12" s="818"/>
      <c r="AK12" s="818"/>
      <c r="AL12" s="818"/>
      <c r="AM12" s="818"/>
      <c r="AN12" s="826">
        <v>3</v>
      </c>
      <c r="AO12" s="826">
        <v>3</v>
      </c>
      <c r="AP12" s="826">
        <v>3</v>
      </c>
      <c r="AQ12" s="826">
        <v>3</v>
      </c>
      <c r="AR12" s="826">
        <v>3</v>
      </c>
      <c r="AS12" s="826">
        <v>3</v>
      </c>
      <c r="AT12" s="818"/>
      <c r="AU12" s="818"/>
      <c r="AV12" s="818"/>
      <c r="AW12" s="818"/>
      <c r="AX12" s="818"/>
      <c r="AY12" s="818"/>
      <c r="AZ12" s="818"/>
      <c r="BA12" s="818"/>
      <c r="BB12" s="818"/>
      <c r="BC12" s="818"/>
      <c r="BD12" s="845">
        <f t="shared" si="0"/>
        <v>18</v>
      </c>
      <c r="BE12" s="847"/>
    </row>
    <row r="13" spans="1:57" ht="22.2" customHeight="1" thickBot="1" x14ac:dyDescent="0.4">
      <c r="B13" s="231"/>
      <c r="C13" s="225"/>
      <c r="D13" s="116"/>
      <c r="E13" s="116"/>
      <c r="F13" s="116"/>
      <c r="G13" s="116"/>
      <c r="H13" s="116"/>
      <c r="I13" s="116"/>
      <c r="J13" s="232"/>
      <c r="K13" s="116"/>
      <c r="L13" s="116"/>
      <c r="M13" s="226"/>
      <c r="N13" s="369"/>
      <c r="O13" s="119">
        <v>10</v>
      </c>
      <c r="P13" s="119" t="s">
        <v>212</v>
      </c>
      <c r="Q13" s="119" t="s">
        <v>215</v>
      </c>
      <c r="R13" s="119"/>
      <c r="S13" s="379">
        <v>0.5</v>
      </c>
      <c r="T13" s="255">
        <v>0.72</v>
      </c>
      <c r="U13" s="239" t="s">
        <v>206</v>
      </c>
      <c r="AA13" s="809"/>
      <c r="AE13" s="931" t="s">
        <v>336</v>
      </c>
      <c r="AF13" s="818"/>
      <c r="AG13" s="818"/>
      <c r="AH13" s="818"/>
      <c r="AI13" s="818"/>
      <c r="AJ13" s="818"/>
      <c r="AK13" s="818"/>
      <c r="AL13" s="818"/>
      <c r="AM13" s="818"/>
      <c r="AN13" s="818"/>
      <c r="AO13" s="818"/>
      <c r="AP13" s="818"/>
      <c r="AQ13" s="818"/>
      <c r="AR13" s="818"/>
      <c r="AS13" s="818"/>
      <c r="AT13" s="826">
        <v>4</v>
      </c>
      <c r="AU13" s="818"/>
      <c r="AV13" s="818"/>
      <c r="AW13" s="818"/>
      <c r="AX13" s="818"/>
      <c r="AY13" s="818"/>
      <c r="AZ13" s="818"/>
      <c r="BA13" s="818"/>
      <c r="BB13" s="818"/>
      <c r="BC13" s="818"/>
      <c r="BD13" s="845">
        <f t="shared" si="0"/>
        <v>4</v>
      </c>
      <c r="BE13" s="847"/>
    </row>
    <row r="14" spans="1:57" ht="21.6" thickBot="1" x14ac:dyDescent="0.45">
      <c r="B14" s="257" t="s">
        <v>186</v>
      </c>
      <c r="C14" s="225"/>
      <c r="D14" s="116"/>
      <c r="E14" s="116"/>
      <c r="F14" s="116"/>
      <c r="G14" s="116"/>
      <c r="H14" s="116"/>
      <c r="I14" s="116"/>
      <c r="J14" s="232"/>
      <c r="K14" s="116"/>
      <c r="L14" s="116"/>
      <c r="M14" s="226"/>
      <c r="N14" s="369"/>
      <c r="O14" s="255">
        <f>D113</f>
        <v>0</v>
      </c>
      <c r="P14" s="119" t="s">
        <v>212</v>
      </c>
      <c r="Q14" s="298" t="str">
        <f>C113</f>
        <v>förpackning X</v>
      </c>
      <c r="R14" s="119"/>
      <c r="S14" s="379">
        <v>0</v>
      </c>
      <c r="T14" s="255"/>
      <c r="U14" s="239" t="s">
        <v>206</v>
      </c>
      <c r="AA14" s="809"/>
      <c r="AE14" s="291" t="s">
        <v>337</v>
      </c>
      <c r="AF14" s="56"/>
      <c r="AG14" s="56"/>
      <c r="AH14" s="56"/>
      <c r="AI14" s="56"/>
      <c r="AJ14" s="56"/>
      <c r="AK14" s="56"/>
      <c r="AL14" s="56"/>
      <c r="AM14" s="56"/>
      <c r="AN14" s="56"/>
      <c r="AO14" s="56"/>
      <c r="AP14" s="826">
        <v>2</v>
      </c>
      <c r="AQ14" s="826">
        <v>2</v>
      </c>
      <c r="AR14" s="56"/>
      <c r="AS14" s="56"/>
      <c r="AT14" s="56"/>
      <c r="AU14" s="56"/>
      <c r="AV14" s="56"/>
      <c r="AW14" s="826">
        <v>2</v>
      </c>
      <c r="AX14" s="826"/>
      <c r="AY14" s="56"/>
      <c r="AZ14" s="56"/>
      <c r="BA14" s="56"/>
      <c r="BB14" s="56"/>
      <c r="BC14" s="56"/>
      <c r="BD14" s="845">
        <f t="shared" si="0"/>
        <v>6</v>
      </c>
      <c r="BE14" s="846"/>
    </row>
    <row r="15" spans="1:57" s="56" customFormat="1" ht="16.95" customHeight="1" thickBot="1" x14ac:dyDescent="0.35">
      <c r="A15" s="307"/>
      <c r="B15" s="493"/>
      <c r="C15" s="245"/>
      <c r="D15" s="249"/>
      <c r="E15" s="249"/>
      <c r="F15" s="250"/>
      <c r="G15" s="120"/>
      <c r="H15" s="249"/>
      <c r="I15" s="249"/>
      <c r="J15" s="249"/>
      <c r="K15" s="249"/>
      <c r="L15" s="249"/>
      <c r="M15" s="234"/>
      <c r="N15" s="369"/>
      <c r="O15" s="255">
        <f t="shared" ref="O15:O17" si="1">D114</f>
        <v>0</v>
      </c>
      <c r="P15" s="119" t="s">
        <v>212</v>
      </c>
      <c r="Q15" s="298" t="str">
        <f t="shared" ref="Q15:Q16" si="2">C114</f>
        <v>förpackning X</v>
      </c>
      <c r="R15" s="119"/>
      <c r="S15" s="379">
        <v>0</v>
      </c>
      <c r="T15" s="255"/>
      <c r="U15" s="239" t="s">
        <v>206</v>
      </c>
      <c r="AA15" s="809"/>
      <c r="AE15" s="291" t="s">
        <v>338</v>
      </c>
      <c r="AR15" s="826">
        <v>2</v>
      </c>
      <c r="AS15" s="826">
        <v>2</v>
      </c>
      <c r="BD15" s="845">
        <f t="shared" si="0"/>
        <v>4</v>
      </c>
      <c r="BE15" s="846"/>
    </row>
    <row r="16" spans="1:57" s="69" customFormat="1" ht="18" thickBot="1" x14ac:dyDescent="0.35">
      <c r="A16" s="307"/>
      <c r="B16" s="493"/>
      <c r="C16" s="940" t="s">
        <v>164</v>
      </c>
      <c r="D16" s="236"/>
      <c r="E16" s="236"/>
      <c r="F16" s="247">
        <f>IF('Gårdens info'!D14&gt;0,J73,0)</f>
        <v>1430.0000000000002</v>
      </c>
      <c r="G16" s="119" t="s">
        <v>57</v>
      </c>
      <c r="H16" s="503">
        <f>IF('Gårdens info'!$G$14&gt;0,F16/'Gårdens info'!$G$14,0)</f>
        <v>3.5750000000000004E-2</v>
      </c>
      <c r="I16" s="119" t="s">
        <v>206</v>
      </c>
      <c r="J16" s="237">
        <f>F16*'Gårdens info'!$D$14</f>
        <v>2860.0000000000005</v>
      </c>
      <c r="K16" s="119" t="s">
        <v>476</v>
      </c>
      <c r="L16" s="236"/>
      <c r="M16" s="239"/>
      <c r="N16" s="227"/>
      <c r="O16" s="255">
        <f t="shared" si="1"/>
        <v>0</v>
      </c>
      <c r="P16" s="119" t="s">
        <v>212</v>
      </c>
      <c r="Q16" s="298" t="str">
        <f t="shared" si="2"/>
        <v>förpackning X</v>
      </c>
      <c r="R16" s="119"/>
      <c r="S16" s="379">
        <v>0</v>
      </c>
      <c r="T16" s="255"/>
      <c r="U16" s="239" t="s">
        <v>206</v>
      </c>
      <c r="AA16" s="809"/>
      <c r="AE16" s="291" t="s">
        <v>339</v>
      </c>
      <c r="AF16" s="56"/>
      <c r="AG16" s="56"/>
      <c r="AH16" s="56"/>
      <c r="AI16" s="56"/>
      <c r="AJ16" s="56"/>
      <c r="AK16" s="56"/>
      <c r="AL16" s="56"/>
      <c r="AM16" s="56"/>
      <c r="AN16" s="56"/>
      <c r="AO16" s="56"/>
      <c r="AP16" s="56"/>
      <c r="AQ16" s="56"/>
      <c r="AR16" s="56"/>
      <c r="AS16" s="56"/>
      <c r="AT16" s="826">
        <v>2</v>
      </c>
      <c r="AU16" s="826">
        <v>2</v>
      </c>
      <c r="AV16" s="56"/>
      <c r="AW16" s="56"/>
      <c r="AX16" s="56"/>
      <c r="AY16" s="56"/>
      <c r="AZ16" s="56"/>
      <c r="BA16" s="56"/>
      <c r="BB16" s="56"/>
      <c r="BC16" s="56"/>
      <c r="BD16" s="845">
        <f t="shared" si="0"/>
        <v>4</v>
      </c>
      <c r="BE16" s="846"/>
    </row>
    <row r="17" spans="1:57" s="69" customFormat="1" ht="18" thickBot="1" x14ac:dyDescent="0.35">
      <c r="A17" s="307"/>
      <c r="B17" s="235"/>
      <c r="C17" s="940" t="s">
        <v>219</v>
      </c>
      <c r="D17" s="236"/>
      <c r="E17" s="236"/>
      <c r="F17" s="237">
        <f>IF('Gårdens info'!D14&gt;0,J83,0)</f>
        <v>1288</v>
      </c>
      <c r="G17" s="119" t="s">
        <v>57</v>
      </c>
      <c r="H17" s="503">
        <f>IF('Gårdens info'!$G$14&gt;0,F17/'Gårdens info'!$G$14,0)</f>
        <v>3.2199999999999999E-2</v>
      </c>
      <c r="I17" s="119" t="s">
        <v>206</v>
      </c>
      <c r="J17" s="237">
        <f>F17*'Gårdens info'!$D$14</f>
        <v>2576</v>
      </c>
      <c r="K17" s="119" t="s">
        <v>476</v>
      </c>
      <c r="L17" s="236"/>
      <c r="M17" s="239"/>
      <c r="N17" s="369"/>
      <c r="O17" s="255">
        <f t="shared" si="1"/>
        <v>0</v>
      </c>
      <c r="P17" s="119" t="s">
        <v>212</v>
      </c>
      <c r="Q17" s="119" t="s">
        <v>272</v>
      </c>
      <c r="R17" s="119"/>
      <c r="S17" s="378">
        <v>0</v>
      </c>
      <c r="T17" s="255"/>
      <c r="U17" s="239" t="s">
        <v>206</v>
      </c>
      <c r="AA17" s="809"/>
      <c r="AE17" s="291" t="s">
        <v>383</v>
      </c>
      <c r="AF17" s="56"/>
      <c r="AG17" s="56"/>
      <c r="AH17" s="56"/>
      <c r="AI17" s="56"/>
      <c r="AJ17" s="56"/>
      <c r="AK17" s="56"/>
      <c r="AL17" s="56"/>
      <c r="AM17" s="56"/>
      <c r="AN17" s="56"/>
      <c r="AO17" s="56"/>
      <c r="AP17" s="56"/>
      <c r="AQ17" s="56"/>
      <c r="AR17" s="826">
        <v>20</v>
      </c>
      <c r="AS17" s="826">
        <v>20</v>
      </c>
      <c r="AT17" s="56"/>
      <c r="AU17" s="56"/>
      <c r="AV17" s="56"/>
      <c r="AW17" s="56"/>
      <c r="AX17" s="56"/>
      <c r="AY17" s="56"/>
      <c r="AZ17" s="56"/>
      <c r="BA17" s="56"/>
      <c r="BB17" s="56"/>
      <c r="BC17" s="56"/>
      <c r="BD17" s="845">
        <f t="shared" si="0"/>
        <v>40</v>
      </c>
      <c r="BE17" s="846"/>
    </row>
    <row r="18" spans="1:57" s="69" customFormat="1" ht="17.399999999999999" x14ac:dyDescent="0.3">
      <c r="A18" s="307"/>
      <c r="B18" s="235"/>
      <c r="C18" s="940" t="s">
        <v>220</v>
      </c>
      <c r="D18" s="236"/>
      <c r="E18" s="236"/>
      <c r="F18" s="237">
        <f>IF('Gårdens info'!D14&gt;0,J104,0)</f>
        <v>238.39349999999999</v>
      </c>
      <c r="G18" s="119" t="s">
        <v>57</v>
      </c>
      <c r="H18" s="503">
        <f>IF('Gårdens info'!$G$14&gt;0,F18/'Gårdens info'!$G$14,0)</f>
        <v>5.9598374999999997E-3</v>
      </c>
      <c r="I18" s="119" t="s">
        <v>206</v>
      </c>
      <c r="J18" s="237">
        <f>F18*'Gårdens info'!$D$14</f>
        <v>476.78699999999998</v>
      </c>
      <c r="K18" s="119" t="s">
        <v>476</v>
      </c>
      <c r="L18" s="236"/>
      <c r="M18" s="239"/>
      <c r="N18" s="371"/>
      <c r="O18" s="1088" t="s">
        <v>54</v>
      </c>
      <c r="P18" s="1088"/>
      <c r="Q18" s="1088"/>
      <c r="R18" s="120"/>
      <c r="S18" s="375">
        <f>SUM(S10:S17)</f>
        <v>1</v>
      </c>
      <c r="T18" s="120"/>
      <c r="U18" s="234"/>
      <c r="AA18" s="809"/>
      <c r="AE18" s="291" t="s">
        <v>341</v>
      </c>
      <c r="AF18" s="826"/>
      <c r="AG18" s="826">
        <v>3</v>
      </c>
      <c r="AH18" s="826"/>
      <c r="AI18" s="826">
        <v>3</v>
      </c>
      <c r="AJ18" s="826"/>
      <c r="AK18" s="826">
        <v>3</v>
      </c>
      <c r="AL18" s="826"/>
      <c r="AM18" s="56"/>
      <c r="AN18" s="56"/>
      <c r="AO18" s="56"/>
      <c r="AP18" s="56"/>
      <c r="AQ18" s="56"/>
      <c r="AR18" s="56"/>
      <c r="AS18" s="56"/>
      <c r="AT18" s="56"/>
      <c r="AU18" s="56"/>
      <c r="AV18" s="56"/>
      <c r="AW18" s="56"/>
      <c r="AX18" s="56"/>
      <c r="AY18" s="56"/>
      <c r="AZ18" s="56"/>
      <c r="BA18" s="56"/>
      <c r="BB18" s="56"/>
      <c r="BC18" s="56"/>
      <c r="BD18" s="845">
        <f t="shared" si="0"/>
        <v>9</v>
      </c>
      <c r="BE18" s="846"/>
    </row>
    <row r="19" spans="1:57" s="69" customFormat="1" ht="17.399999999999999" x14ac:dyDescent="0.3">
      <c r="A19" s="307"/>
      <c r="B19" s="235"/>
      <c r="C19" s="940" t="s">
        <v>221</v>
      </c>
      <c r="D19" s="236"/>
      <c r="E19" s="236"/>
      <c r="F19" s="237">
        <f>IF('Gårdens info'!D14&gt;0,J117,0)</f>
        <v>1200</v>
      </c>
      <c r="G19" s="119" t="s">
        <v>57</v>
      </c>
      <c r="H19" s="503">
        <f>IF('Gårdens info'!$G$14&gt;0,F19/'Gårdens info'!$G$14,0)</f>
        <v>0.03</v>
      </c>
      <c r="I19" s="119" t="s">
        <v>206</v>
      </c>
      <c r="J19" s="237">
        <f>F19*'Gårdens info'!$D$14</f>
        <v>2400</v>
      </c>
      <c r="K19" s="119" t="s">
        <v>476</v>
      </c>
      <c r="L19" s="236"/>
      <c r="M19" s="239"/>
      <c r="N19" s="227"/>
      <c r="O19" s="376" t="str">
        <f>IF(S18=100%," ","HUOM! Osuus myyynneistä pitää summautua 100 prosenttiin")</f>
        <v xml:space="preserve"> </v>
      </c>
      <c r="P19" s="119"/>
      <c r="R19" s="119"/>
      <c r="S19" s="119"/>
      <c r="T19" s="119"/>
      <c r="U19" s="239"/>
      <c r="AA19" s="809"/>
      <c r="AE19" s="291" t="s">
        <v>38</v>
      </c>
      <c r="AF19" s="56"/>
      <c r="AG19" s="56"/>
      <c r="AH19" s="56"/>
      <c r="AI19" s="56"/>
      <c r="AJ19" s="56"/>
      <c r="AK19" s="56"/>
      <c r="AL19" s="56"/>
      <c r="AM19" s="56"/>
      <c r="AN19" s="56"/>
      <c r="AO19" s="56"/>
      <c r="AP19" s="56"/>
      <c r="AQ19" s="56"/>
      <c r="AR19" s="56"/>
      <c r="AS19" s="56"/>
      <c r="AT19" s="56"/>
      <c r="AU19" s="56"/>
      <c r="AV19" s="826">
        <v>10</v>
      </c>
      <c r="AW19" s="826">
        <v>10</v>
      </c>
      <c r="AX19" s="56"/>
      <c r="AY19" s="56"/>
      <c r="AZ19" s="56"/>
      <c r="BA19" s="56"/>
      <c r="BB19" s="56"/>
      <c r="BC19" s="56"/>
      <c r="BD19" s="845">
        <f t="shared" si="0"/>
        <v>20</v>
      </c>
      <c r="BE19" s="846"/>
    </row>
    <row r="20" spans="1:57" s="69" customFormat="1" ht="18" thickBot="1" x14ac:dyDescent="0.35">
      <c r="A20" s="307"/>
      <c r="B20" s="235"/>
      <c r="C20" s="940" t="s">
        <v>222</v>
      </c>
      <c r="D20" s="236"/>
      <c r="E20" s="236"/>
      <c r="F20" s="237">
        <f>IF('Gårdens info'!D14&gt;0,J125,0)</f>
        <v>1280</v>
      </c>
      <c r="G20" s="119" t="s">
        <v>57</v>
      </c>
      <c r="H20" s="503">
        <f>IF('Gårdens info'!$G$14&gt;0,F20/'Gårdens info'!$G$14,0)</f>
        <v>3.2000000000000001E-2</v>
      </c>
      <c r="I20" s="119" t="s">
        <v>206</v>
      </c>
      <c r="J20" s="237">
        <f>F20*'Gårdens info'!$D$14</f>
        <v>2560</v>
      </c>
      <c r="K20" s="119" t="s">
        <v>476</v>
      </c>
      <c r="L20" s="236"/>
      <c r="M20" s="239"/>
      <c r="N20" s="372"/>
      <c r="O20" s="373"/>
      <c r="P20" s="373"/>
      <c r="Q20" s="373"/>
      <c r="R20" s="373"/>
      <c r="S20" s="373"/>
      <c r="T20" s="373"/>
      <c r="U20" s="374"/>
      <c r="AA20" s="809"/>
      <c r="AE20" s="291" t="s">
        <v>458</v>
      </c>
      <c r="AF20" s="56"/>
      <c r="AG20" s="56"/>
      <c r="AH20" s="56"/>
      <c r="AI20" s="56"/>
      <c r="AJ20" s="56"/>
      <c r="AK20" s="56"/>
      <c r="AL20" s="56"/>
      <c r="AM20" s="56"/>
      <c r="AN20" s="56"/>
      <c r="AO20" s="56"/>
      <c r="AP20" s="56"/>
      <c r="AQ20" s="56"/>
      <c r="AR20" s="56"/>
      <c r="AS20" s="56"/>
      <c r="AT20" s="56"/>
      <c r="AU20" s="56"/>
      <c r="AV20" s="826">
        <v>5</v>
      </c>
      <c r="AW20" s="826">
        <v>5</v>
      </c>
      <c r="AX20" s="56"/>
      <c r="AY20" s="56"/>
      <c r="AZ20" s="56"/>
      <c r="BA20" s="56"/>
      <c r="BB20" s="56"/>
      <c r="BC20" s="56"/>
      <c r="BD20" s="845">
        <f t="shared" si="0"/>
        <v>10</v>
      </c>
      <c r="BE20" s="846"/>
    </row>
    <row r="21" spans="1:57" s="69" customFormat="1" ht="17.399999999999999" x14ac:dyDescent="0.3">
      <c r="A21" s="307"/>
      <c r="B21" s="235"/>
      <c r="C21" s="940" t="s">
        <v>223</v>
      </c>
      <c r="D21" s="236"/>
      <c r="E21" s="236"/>
      <c r="F21" s="237">
        <f>IF('Gårdens info'!D14&gt;0,J133,0)</f>
        <v>0</v>
      </c>
      <c r="G21" s="119" t="s">
        <v>57</v>
      </c>
      <c r="H21" s="503">
        <f>IF('Gårdens info'!$G$14&gt;0,F21/'Gårdens info'!$G$14,0)</f>
        <v>0</v>
      </c>
      <c r="I21" s="119" t="s">
        <v>206</v>
      </c>
      <c r="J21" s="237">
        <f>F21*'Gårdens info'!$D$14</f>
        <v>0</v>
      </c>
      <c r="K21" s="119" t="s">
        <v>476</v>
      </c>
      <c r="L21" s="236"/>
      <c r="M21" s="239"/>
      <c r="AA21" s="809"/>
      <c r="AE21" s="291" t="s">
        <v>306</v>
      </c>
      <c r="AF21" s="56"/>
      <c r="AG21" s="56"/>
      <c r="AH21" s="56"/>
      <c r="AI21" s="56"/>
      <c r="AJ21" s="56"/>
      <c r="AK21" s="56"/>
      <c r="AL21" s="56"/>
      <c r="AM21" s="56"/>
      <c r="AN21" s="56"/>
      <c r="AO21" s="56"/>
      <c r="AP21" s="56"/>
      <c r="AQ21" s="56"/>
      <c r="AR21" s="56"/>
      <c r="AS21" s="56"/>
      <c r="AT21" s="56"/>
      <c r="AU21" s="56"/>
      <c r="AV21" s="56"/>
      <c r="AW21" s="826">
        <v>4</v>
      </c>
      <c r="AX21" s="826">
        <v>4</v>
      </c>
      <c r="AY21" s="826">
        <v>4</v>
      </c>
      <c r="AZ21" s="826">
        <v>4</v>
      </c>
      <c r="BA21" s="826">
        <v>4</v>
      </c>
      <c r="BB21" s="826">
        <v>4</v>
      </c>
      <c r="BC21" s="826">
        <v>4</v>
      </c>
      <c r="BD21" s="845">
        <f>SUM(AF21:BC21)</f>
        <v>28</v>
      </c>
      <c r="BE21" s="846"/>
    </row>
    <row r="22" spans="1:57" s="69" customFormat="1" ht="17.399999999999999" x14ac:dyDescent="0.3">
      <c r="A22" s="307"/>
      <c r="B22" s="235"/>
      <c r="C22" s="940" t="s">
        <v>224</v>
      </c>
      <c r="D22" s="236"/>
      <c r="E22" s="236"/>
      <c r="F22" s="237">
        <f>IF('Gårdens info'!D14&gt;0,J145,0)</f>
        <v>2639</v>
      </c>
      <c r="G22" s="119" t="s">
        <v>57</v>
      </c>
      <c r="H22" s="503">
        <f>IF('Gårdens info'!$G$14&gt;0,F22/'Gårdens info'!$G$14,0)</f>
        <v>6.5975000000000006E-2</v>
      </c>
      <c r="I22" s="119" t="s">
        <v>206</v>
      </c>
      <c r="J22" s="237">
        <f>F22*'Gårdens info'!$D$14</f>
        <v>5278</v>
      </c>
      <c r="K22" s="119" t="s">
        <v>476</v>
      </c>
      <c r="L22" s="236"/>
      <c r="M22" s="239"/>
      <c r="AA22" s="809"/>
      <c r="AE22" s="291" t="s">
        <v>343</v>
      </c>
      <c r="AF22" s="826">
        <v>6</v>
      </c>
      <c r="AG22" s="826">
        <v>6</v>
      </c>
      <c r="AH22" s="56"/>
      <c r="AI22" s="56"/>
      <c r="AJ22" s="56"/>
      <c r="AK22" s="56"/>
      <c r="AL22" s="56"/>
      <c r="AM22" s="56"/>
      <c r="AN22" s="56"/>
      <c r="AO22" s="56"/>
      <c r="AP22" s="56"/>
      <c r="AQ22" s="56"/>
      <c r="AR22" s="56"/>
      <c r="AS22" s="56"/>
      <c r="AT22" s="56"/>
      <c r="AU22" s="56"/>
      <c r="AV22" s="56"/>
      <c r="AW22" s="56"/>
      <c r="AX22" s="56"/>
      <c r="AY22" s="56"/>
      <c r="AZ22" s="56"/>
      <c r="BA22" s="56"/>
      <c r="BB22" s="56"/>
      <c r="BC22" s="56"/>
      <c r="BD22" s="845">
        <f t="shared" si="0"/>
        <v>12</v>
      </c>
      <c r="BE22" s="846"/>
    </row>
    <row r="23" spans="1:57" s="69" customFormat="1" ht="17.399999999999999" x14ac:dyDescent="0.3">
      <c r="A23" s="307"/>
      <c r="B23" s="235"/>
      <c r="C23" s="940" t="s">
        <v>225</v>
      </c>
      <c r="D23" s="236"/>
      <c r="E23" s="236"/>
      <c r="F23" s="237">
        <f>IF('Gårdens info'!D14,L181,0)</f>
        <v>435</v>
      </c>
      <c r="G23" s="119" t="s">
        <v>57</v>
      </c>
      <c r="H23" s="503">
        <f>IF('Gårdens info'!$G$14&gt;0,F23/'Gårdens info'!$G$14,0)</f>
        <v>1.0874999999999999E-2</v>
      </c>
      <c r="I23" s="119" t="s">
        <v>206</v>
      </c>
      <c r="J23" s="237">
        <f>F23*'Gårdens info'!$D$14</f>
        <v>870</v>
      </c>
      <c r="K23" s="119" t="s">
        <v>476</v>
      </c>
      <c r="L23" s="236"/>
      <c r="M23" s="239"/>
      <c r="AE23" s="291" t="s">
        <v>344</v>
      </c>
      <c r="AF23" s="56"/>
      <c r="AG23" s="56"/>
      <c r="AH23" s="826">
        <v>6</v>
      </c>
      <c r="AI23" s="826"/>
      <c r="AJ23" s="56"/>
      <c r="AK23" s="56"/>
      <c r="AL23" s="56"/>
      <c r="AM23" s="56"/>
      <c r="AN23" s="56"/>
      <c r="AO23" s="56"/>
      <c r="AP23" s="56"/>
      <c r="AQ23" s="56"/>
      <c r="AR23" s="56"/>
      <c r="AS23" s="56"/>
      <c r="AT23" s="56"/>
      <c r="AU23" s="56"/>
      <c r="AV23" s="56"/>
      <c r="AW23" s="56"/>
      <c r="AX23" s="56"/>
      <c r="AY23" s="56"/>
      <c r="AZ23" s="56"/>
      <c r="BA23" s="56"/>
      <c r="BB23" s="56"/>
      <c r="BC23" s="56"/>
      <c r="BD23" s="845">
        <f t="shared" si="0"/>
        <v>6</v>
      </c>
      <c r="BE23" s="846"/>
    </row>
    <row r="24" spans="1:57" ht="17.399999999999999" x14ac:dyDescent="0.3">
      <c r="B24" s="251"/>
      <c r="C24" s="240" t="s">
        <v>54</v>
      </c>
      <c r="D24" s="241"/>
      <c r="E24" s="241"/>
      <c r="F24" s="242">
        <f>SUM(F16:F23)</f>
        <v>8510.3935000000001</v>
      </c>
      <c r="G24" s="243" t="s">
        <v>57</v>
      </c>
      <c r="H24" s="504">
        <f>SUM(H16:H23)</f>
        <v>0.21275983750000002</v>
      </c>
      <c r="I24" s="243" t="s">
        <v>206</v>
      </c>
      <c r="J24" s="242">
        <f>SUM(J16:J23)</f>
        <v>17020.787</v>
      </c>
      <c r="K24" s="230" t="s">
        <v>476</v>
      </c>
      <c r="L24" s="241"/>
      <c r="M24" s="252"/>
      <c r="N24" s="69"/>
      <c r="O24" s="69"/>
      <c r="P24" s="69"/>
      <c r="Q24" s="69"/>
      <c r="R24" s="69"/>
      <c r="S24" s="69"/>
      <c r="T24" s="69"/>
      <c r="U24" s="69"/>
      <c r="AE24" s="291" t="s">
        <v>345</v>
      </c>
      <c r="AF24" s="826">
        <v>2</v>
      </c>
      <c r="AG24" s="826"/>
      <c r="AH24" s="56"/>
      <c r="AI24" s="56"/>
      <c r="AJ24" s="56"/>
      <c r="AK24" s="56"/>
      <c r="AL24" s="56"/>
      <c r="AM24" s="56"/>
      <c r="AN24" s="56"/>
      <c r="AO24" s="56"/>
      <c r="AP24" s="56"/>
      <c r="AQ24" s="56"/>
      <c r="AR24" s="56"/>
      <c r="AS24" s="56"/>
      <c r="AT24" s="56"/>
      <c r="AU24" s="56"/>
      <c r="AV24" s="56"/>
      <c r="AW24" s="56"/>
      <c r="AX24" s="56"/>
      <c r="AY24" s="56"/>
      <c r="AZ24" s="56"/>
      <c r="BA24" s="56"/>
      <c r="BB24" s="56"/>
      <c r="BC24" s="56"/>
      <c r="BD24" s="845">
        <f t="shared" si="0"/>
        <v>2</v>
      </c>
      <c r="BE24" s="846"/>
    </row>
    <row r="25" spans="1:57" s="56" customFormat="1" ht="17.399999999999999" x14ac:dyDescent="0.3">
      <c r="A25" s="306"/>
      <c r="B25" s="231"/>
      <c r="C25" s="245"/>
      <c r="D25" s="246"/>
      <c r="E25" s="246"/>
      <c r="F25" s="247"/>
      <c r="G25" s="119"/>
      <c r="H25" s="246"/>
      <c r="I25" s="246"/>
      <c r="J25" s="246"/>
      <c r="K25" s="246"/>
      <c r="L25" s="246"/>
      <c r="M25" s="226"/>
      <c r="N25" s="69"/>
      <c r="O25" s="69"/>
      <c r="P25" s="69"/>
      <c r="R25" s="69"/>
      <c r="S25" s="69"/>
      <c r="T25" s="69"/>
      <c r="U25" s="69"/>
      <c r="AB25" s="449" t="s">
        <v>478</v>
      </c>
      <c r="AC25" s="561">
        <f>F16</f>
        <v>1430.0000000000002</v>
      </c>
      <c r="AE25" s="291" t="s">
        <v>346</v>
      </c>
      <c r="AF25" s="826">
        <v>4</v>
      </c>
      <c r="AG25" s="826"/>
      <c r="BD25" s="845">
        <f t="shared" si="0"/>
        <v>4</v>
      </c>
      <c r="BE25" s="846"/>
    </row>
    <row r="26" spans="1:57" s="69" customFormat="1" ht="17.399999999999999" x14ac:dyDescent="0.3">
      <c r="A26" s="307"/>
      <c r="B26" s="1089" t="s">
        <v>479</v>
      </c>
      <c r="C26" s="1090"/>
      <c r="D26" s="1090"/>
      <c r="E26" s="1090"/>
      <c r="F26" s="263">
        <f>IF('Gårdens info'!D14&gt;0,J26/'Gårdens info'!D14,0)</f>
        <v>238.29787234042553</v>
      </c>
      <c r="G26" s="243" t="s">
        <v>57</v>
      </c>
      <c r="H26" s="506">
        <f>IF('Gårdens info'!G14&gt;0,F26/'Gårdens info'!G14,0)</f>
        <v>5.9574468085106386E-3</v>
      </c>
      <c r="I26" s="243" t="s">
        <v>206</v>
      </c>
      <c r="J26" s="258">
        <f>'Gårdens info'!G163/'Gårdens info'!D43*'Gårdens info'!D14</f>
        <v>476.59574468085106</v>
      </c>
      <c r="K26" s="243" t="s">
        <v>476</v>
      </c>
      <c r="L26" s="265"/>
      <c r="M26" s="259"/>
      <c r="N26"/>
      <c r="O26"/>
      <c r="P26"/>
      <c r="S26"/>
      <c r="T26"/>
      <c r="U26"/>
      <c r="AB26" s="382" t="str">
        <f t="shared" ref="AB26:AB32" si="3">C17</f>
        <v>Gödsel och kalk</v>
      </c>
      <c r="AC26" s="561">
        <f t="shared" ref="AC26:AC32" si="4">F17</f>
        <v>1288</v>
      </c>
      <c r="AE26" s="291" t="s">
        <v>348</v>
      </c>
      <c r="AF26" s="826">
        <v>1</v>
      </c>
      <c r="AG26" s="826"/>
      <c r="AH26" s="826">
        <v>1</v>
      </c>
      <c r="AI26" s="826"/>
      <c r="AJ26" s="826">
        <v>1</v>
      </c>
      <c r="AK26" s="826"/>
      <c r="AL26" s="826">
        <v>1</v>
      </c>
      <c r="AM26" s="826"/>
      <c r="AN26" s="826">
        <v>1</v>
      </c>
      <c r="AO26" s="826"/>
      <c r="AP26" s="826">
        <v>1</v>
      </c>
      <c r="AQ26" s="826"/>
      <c r="AR26" s="826">
        <v>1</v>
      </c>
      <c r="AS26" s="826"/>
      <c r="AT26" s="826">
        <v>1</v>
      </c>
      <c r="AU26" s="826"/>
      <c r="AV26" s="826">
        <v>1</v>
      </c>
      <c r="AW26" s="826"/>
      <c r="AX26" s="826">
        <v>1</v>
      </c>
      <c r="AY26" s="826"/>
      <c r="AZ26" s="826">
        <v>1</v>
      </c>
      <c r="BA26" s="826"/>
      <c r="BB26" s="826">
        <v>1</v>
      </c>
      <c r="BC26" s="826"/>
      <c r="BD26" s="845">
        <f t="shared" si="0"/>
        <v>12</v>
      </c>
      <c r="BE26" s="846"/>
    </row>
    <row r="27" spans="1:57" s="69" customFormat="1" ht="17.399999999999999" x14ac:dyDescent="0.3">
      <c r="A27" s="307"/>
      <c r="B27" s="1091" t="s">
        <v>480</v>
      </c>
      <c r="C27" s="1092"/>
      <c r="D27" s="1092"/>
      <c r="E27" s="1092"/>
      <c r="F27" s="263">
        <f>IF('Gårdens info'!D14&gt;0,J27/'Gårdens info'!D14,0)</f>
        <v>187.2340425531915</v>
      </c>
      <c r="G27" s="243" t="s">
        <v>57</v>
      </c>
      <c r="H27" s="506">
        <f>IF('Gårdens info'!G14&gt;0,F27/'Gårdens info'!G14,0)</f>
        <v>4.6808510638297876E-3</v>
      </c>
      <c r="I27" s="243" t="s">
        <v>206</v>
      </c>
      <c r="J27" s="258">
        <f>'Gårdens info'!$D$48/'Gårdens info'!$D$49*'Gårdens info'!$G$48*'Gårdens info'!D14</f>
        <v>374.468085106383</v>
      </c>
      <c r="K27" s="243" t="s">
        <v>476</v>
      </c>
      <c r="L27" s="265"/>
      <c r="M27" s="259"/>
      <c r="N27" s="56"/>
      <c r="O27" s="56"/>
      <c r="P27" s="56"/>
      <c r="S27" s="56"/>
      <c r="T27" s="56"/>
      <c r="U27" s="56"/>
      <c r="AB27" s="382" t="str">
        <f t="shared" si="3"/>
        <v>IPM Växtskydd</v>
      </c>
      <c r="AC27" s="561">
        <f t="shared" si="4"/>
        <v>238.39349999999999</v>
      </c>
      <c r="AE27" s="291" t="s">
        <v>350</v>
      </c>
      <c r="AF27" s="56"/>
      <c r="AG27" s="826"/>
      <c r="AH27" s="826">
        <v>2</v>
      </c>
      <c r="AI27" s="826"/>
      <c r="AJ27" s="826">
        <v>2</v>
      </c>
      <c r="AK27" s="826"/>
      <c r="AL27" s="826">
        <v>2</v>
      </c>
      <c r="AM27" s="826"/>
      <c r="AN27" s="826">
        <v>4</v>
      </c>
      <c r="AO27" s="826"/>
      <c r="AP27" s="826">
        <v>4</v>
      </c>
      <c r="AQ27" s="826"/>
      <c r="AR27" s="826">
        <v>4</v>
      </c>
      <c r="AS27" s="826"/>
      <c r="AT27" s="826">
        <v>4</v>
      </c>
      <c r="AU27" s="826"/>
      <c r="AV27" s="826">
        <v>4</v>
      </c>
      <c r="AW27" s="826"/>
      <c r="AX27" s="826">
        <v>2</v>
      </c>
      <c r="AY27" s="826"/>
      <c r="AZ27" s="826">
        <v>2</v>
      </c>
      <c r="BA27" s="826"/>
      <c r="BB27" s="56"/>
      <c r="BC27" s="56"/>
      <c r="BD27" s="845">
        <f>SUM(AF27:BB27)</f>
        <v>30</v>
      </c>
      <c r="BE27" s="846"/>
    </row>
    <row r="28" spans="1:57" s="69" customFormat="1" ht="21" x14ac:dyDescent="0.4">
      <c r="A28" s="307"/>
      <c r="B28" s="1061" t="s">
        <v>189</v>
      </c>
      <c r="C28" s="1043"/>
      <c r="D28" s="1043"/>
      <c r="E28" s="262"/>
      <c r="F28" s="266">
        <f>F24+F26+F27</f>
        <v>8935.9254148936161</v>
      </c>
      <c r="G28" s="267" t="s">
        <v>57</v>
      </c>
      <c r="H28" s="507">
        <f>H24+H26+H27</f>
        <v>0.22339813537234046</v>
      </c>
      <c r="I28" s="267" t="s">
        <v>206</v>
      </c>
      <c r="J28" s="269">
        <f>J24+J26+J27</f>
        <v>17871.850829787232</v>
      </c>
      <c r="K28" s="267" t="s">
        <v>476</v>
      </c>
      <c r="L28" s="267"/>
      <c r="M28" s="259"/>
      <c r="AB28" s="382" t="str">
        <f t="shared" si="3"/>
        <v>Packningsmaterial</v>
      </c>
      <c r="AC28" s="561">
        <f t="shared" si="4"/>
        <v>1200</v>
      </c>
      <c r="AE28" s="291" t="s">
        <v>351</v>
      </c>
      <c r="AF28" s="56"/>
      <c r="AG28" s="826"/>
      <c r="AH28" s="826">
        <v>1</v>
      </c>
      <c r="AI28" s="826"/>
      <c r="AJ28" s="826">
        <v>1</v>
      </c>
      <c r="AK28" s="826"/>
      <c r="AL28" s="826">
        <v>1</v>
      </c>
      <c r="AM28" s="826"/>
      <c r="AN28" s="826">
        <v>1</v>
      </c>
      <c r="AO28" s="826"/>
      <c r="AP28" s="826">
        <v>1</v>
      </c>
      <c r="AQ28" s="826"/>
      <c r="AR28" s="826">
        <v>1</v>
      </c>
      <c r="AS28" s="826"/>
      <c r="AT28" s="826">
        <v>1</v>
      </c>
      <c r="AU28" s="826"/>
      <c r="AV28" s="826">
        <v>1</v>
      </c>
      <c r="AW28" s="826"/>
      <c r="AX28" s="826">
        <v>1</v>
      </c>
      <c r="AY28" s="826"/>
      <c r="AZ28" s="826">
        <v>1</v>
      </c>
      <c r="BA28" s="826"/>
      <c r="BB28" s="56"/>
      <c r="BC28" s="56"/>
      <c r="BD28" s="845">
        <f>SUM(AF28:BB28)</f>
        <v>10</v>
      </c>
      <c r="BE28" s="846"/>
    </row>
    <row r="29" spans="1:57" s="69" customFormat="1" ht="21" x14ac:dyDescent="0.4">
      <c r="A29" s="307"/>
      <c r="B29" s="288"/>
      <c r="C29" s="270"/>
      <c r="D29" s="270"/>
      <c r="E29" s="262"/>
      <c r="F29" s="266"/>
      <c r="G29" s="267"/>
      <c r="H29" s="268"/>
      <c r="I29" s="267"/>
      <c r="J29" s="269"/>
      <c r="K29" s="267"/>
      <c r="L29" s="267"/>
      <c r="M29" s="259"/>
      <c r="AB29" s="382" t="str">
        <f t="shared" si="3"/>
        <v>Fraktkostnader</v>
      </c>
      <c r="AC29" s="561">
        <f t="shared" si="4"/>
        <v>1280</v>
      </c>
      <c r="AE29" s="291" t="s">
        <v>352</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845">
        <f t="shared" ref="BD29:BD31" si="5">SUM(AF29:BB29)</f>
        <v>0</v>
      </c>
      <c r="BE29" s="846"/>
    </row>
    <row r="30" spans="1:57" s="69" customFormat="1" ht="21" x14ac:dyDescent="0.4">
      <c r="A30" s="307"/>
      <c r="B30" s="257" t="s">
        <v>481</v>
      </c>
      <c r="C30" s="225"/>
      <c r="D30" s="116"/>
      <c r="E30" s="116"/>
      <c r="F30" s="116"/>
      <c r="G30" s="116"/>
      <c r="H30" s="116"/>
      <c r="I30" s="116"/>
      <c r="J30" s="232"/>
      <c r="K30" s="116"/>
      <c r="L30" s="116"/>
      <c r="M30" s="226"/>
      <c r="AB30" s="382" t="str">
        <f t="shared" si="3"/>
        <v>Maskinkostnader och entreprenad</v>
      </c>
      <c r="AC30" s="561">
        <f t="shared" si="4"/>
        <v>0</v>
      </c>
      <c r="AE30" s="291" t="s">
        <v>352</v>
      </c>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845">
        <f t="shared" si="5"/>
        <v>0</v>
      </c>
      <c r="BE30" s="846"/>
    </row>
    <row r="31" spans="1:57" s="69" customFormat="1" ht="21" x14ac:dyDescent="0.4">
      <c r="A31" s="307"/>
      <c r="B31" s="1081" t="s">
        <v>69</v>
      </c>
      <c r="C31" s="1082"/>
      <c r="D31" s="270"/>
      <c r="E31" s="262"/>
      <c r="F31" s="266"/>
      <c r="G31" s="267"/>
      <c r="H31" s="268"/>
      <c r="I31" s="267"/>
      <c r="J31" s="269"/>
      <c r="K31" s="267"/>
      <c r="L31" s="267"/>
      <c r="M31" s="259"/>
      <c r="AB31" s="382" t="str">
        <f t="shared" si="3"/>
        <v>Energikostnader</v>
      </c>
      <c r="AC31" s="561">
        <f t="shared" si="4"/>
        <v>2639</v>
      </c>
      <c r="AE31" s="291" t="s">
        <v>352</v>
      </c>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845">
        <f t="shared" si="5"/>
        <v>0</v>
      </c>
      <c r="BE31" s="846"/>
    </row>
    <row r="32" spans="1:57" s="69" customFormat="1" ht="21.6" thickBot="1" x14ac:dyDescent="0.45">
      <c r="A32" s="307"/>
      <c r="B32" s="287"/>
      <c r="C32" s="941" t="s">
        <v>229</v>
      </c>
      <c r="D32" s="942"/>
      <c r="E32" s="262"/>
      <c r="F32" s="276">
        <f>IF('Gårdens info'!$D$14&gt;0,J32/'Gårdens info'!$D$14,0)</f>
        <v>1259.9687833730386</v>
      </c>
      <c r="G32" s="119" t="s">
        <v>57</v>
      </c>
      <c r="H32" s="502">
        <f>IF('Gårdens info'!$G$14&gt;0,F32/'Gårdens info'!$G$14,0)</f>
        <v>3.1499219584325965E-2</v>
      </c>
      <c r="I32" s="119" t="s">
        <v>206</v>
      </c>
      <c r="J32" s="237">
        <f>Egendom!AN25</f>
        <v>2519.9375667460772</v>
      </c>
      <c r="K32" s="119" t="s">
        <v>476</v>
      </c>
      <c r="L32" s="267"/>
      <c r="M32" s="259"/>
      <c r="AB32" s="382" t="str">
        <f t="shared" si="3"/>
        <v>Anställd arbetskraft</v>
      </c>
      <c r="AC32" s="561">
        <f t="shared" si="4"/>
        <v>435</v>
      </c>
      <c r="AE32" s="806" t="s">
        <v>354</v>
      </c>
      <c r="AF32" s="819">
        <f>SUM(AF6:AF31)</f>
        <v>13</v>
      </c>
      <c r="AG32" s="819">
        <f t="shared" ref="AG32:BC32" si="6">SUM(AG6:AG31)</f>
        <v>9</v>
      </c>
      <c r="AH32" s="819">
        <f t="shared" si="6"/>
        <v>11</v>
      </c>
      <c r="AI32" s="819">
        <f t="shared" si="6"/>
        <v>3</v>
      </c>
      <c r="AJ32" s="819">
        <f t="shared" si="6"/>
        <v>5</v>
      </c>
      <c r="AK32" s="819">
        <f t="shared" si="6"/>
        <v>3</v>
      </c>
      <c r="AL32" s="819">
        <f t="shared" si="6"/>
        <v>5</v>
      </c>
      <c r="AM32" s="819">
        <f t="shared" si="6"/>
        <v>7</v>
      </c>
      <c r="AN32" s="819">
        <f t="shared" si="6"/>
        <v>16</v>
      </c>
      <c r="AO32" s="819">
        <f t="shared" si="6"/>
        <v>3</v>
      </c>
      <c r="AP32" s="819">
        <f t="shared" si="6"/>
        <v>12</v>
      </c>
      <c r="AQ32" s="819">
        <f t="shared" si="6"/>
        <v>5</v>
      </c>
      <c r="AR32" s="819">
        <f t="shared" si="6"/>
        <v>32</v>
      </c>
      <c r="AS32" s="819">
        <f t="shared" si="6"/>
        <v>25</v>
      </c>
      <c r="AT32" s="819">
        <f t="shared" si="6"/>
        <v>13</v>
      </c>
      <c r="AU32" s="819">
        <f t="shared" si="6"/>
        <v>2</v>
      </c>
      <c r="AV32" s="819">
        <f t="shared" si="6"/>
        <v>22</v>
      </c>
      <c r="AW32" s="819">
        <f t="shared" si="6"/>
        <v>21</v>
      </c>
      <c r="AX32" s="819">
        <f t="shared" si="6"/>
        <v>9</v>
      </c>
      <c r="AY32" s="819">
        <f t="shared" si="6"/>
        <v>4</v>
      </c>
      <c r="AZ32" s="819">
        <f t="shared" si="6"/>
        <v>10</v>
      </c>
      <c r="BA32" s="819">
        <f t="shared" si="6"/>
        <v>4</v>
      </c>
      <c r="BB32" s="819">
        <f t="shared" si="6"/>
        <v>6</v>
      </c>
      <c r="BC32" s="819">
        <f t="shared" si="6"/>
        <v>4</v>
      </c>
      <c r="BD32" s="819">
        <f>SUM(BD6:BD31)</f>
        <v>244</v>
      </c>
      <c r="BE32" s="820"/>
    </row>
    <row r="33" spans="1:57" s="192" customFormat="1" ht="21" x14ac:dyDescent="0.4">
      <c r="A33" s="308"/>
      <c r="B33" s="287"/>
      <c r="C33" s="941" t="s">
        <v>230</v>
      </c>
      <c r="D33" s="942"/>
      <c r="E33" s="262"/>
      <c r="F33" s="276">
        <f>IF('Gårdens info'!$D$14&gt;0,J33/'Gårdens info'!$D$14,0)</f>
        <v>787.48048960814913</v>
      </c>
      <c r="G33" s="119" t="s">
        <v>57</v>
      </c>
      <c r="H33" s="502">
        <f>IF('Gårdens info'!$G$14&gt;0,F33/'Gårdens info'!$G$14,0)</f>
        <v>1.9687012240203729E-2</v>
      </c>
      <c r="I33" s="119" t="s">
        <v>206</v>
      </c>
      <c r="J33" s="237">
        <f>Egendom!BL25</f>
        <v>1574.9609792162983</v>
      </c>
      <c r="K33" s="119" t="s">
        <v>476</v>
      </c>
      <c r="L33" s="267"/>
      <c r="M33" s="259"/>
      <c r="N33" s="69"/>
      <c r="O33" s="69"/>
      <c r="P33" s="69"/>
      <c r="S33" s="69"/>
      <c r="T33" s="69"/>
      <c r="U33" s="69"/>
      <c r="AB33" s="384" t="s">
        <v>231</v>
      </c>
      <c r="AC33" s="384">
        <f>F26</f>
        <v>238.29787234042553</v>
      </c>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row>
    <row r="34" spans="1:57" ht="17.399999999999999" customHeight="1" x14ac:dyDescent="0.3">
      <c r="B34" s="287"/>
      <c r="C34" s="1108" t="s">
        <v>232</v>
      </c>
      <c r="D34" s="1108"/>
      <c r="E34" s="262"/>
      <c r="F34" s="276">
        <f>IF('Gårdens info'!$D$14&gt;0,J34/'Gårdens info'!$D$14,0)</f>
        <v>314.99219584325965</v>
      </c>
      <c r="G34" s="119" t="s">
        <v>57</v>
      </c>
      <c r="H34" s="502">
        <f>IF('Gårdens info'!$G$14&gt;0,F34/'Gårdens info'!$G$14,0)</f>
        <v>7.8748048960814911E-3</v>
      </c>
      <c r="I34" s="119" t="s">
        <v>206</v>
      </c>
      <c r="J34" s="237">
        <f>Egendom!CJ25</f>
        <v>629.9843916865193</v>
      </c>
      <c r="K34" s="119" t="s">
        <v>476</v>
      </c>
      <c r="L34" s="267"/>
      <c r="M34" s="259"/>
      <c r="N34" s="69"/>
      <c r="O34" s="69"/>
      <c r="P34" s="69"/>
      <c r="S34" s="69"/>
      <c r="T34" s="69"/>
      <c r="U34" s="69"/>
      <c r="AB34" s="382" t="s">
        <v>482</v>
      </c>
      <c r="AC34" s="384">
        <f>F27</f>
        <v>187.2340425531915</v>
      </c>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row>
    <row r="35" spans="1:57" ht="21" x14ac:dyDescent="0.4">
      <c r="B35" s="287"/>
      <c r="C35" s="941" t="s">
        <v>483</v>
      </c>
      <c r="D35" s="942"/>
      <c r="E35" s="262"/>
      <c r="F35" s="276">
        <f>IF('Gårdens info'!$D$14&gt;0,J35/'Gårdens info'!$D$14,0)</f>
        <v>62.998439168651927</v>
      </c>
      <c r="G35" s="119" t="s">
        <v>57</v>
      </c>
      <c r="H35" s="502">
        <f>IF('Gårdens info'!$G$14&gt;0,F35/'Gårdens info'!$G$14,0)</f>
        <v>1.5749609792162981E-3</v>
      </c>
      <c r="I35" s="119" t="s">
        <v>206</v>
      </c>
      <c r="J35" s="237">
        <f>Egendom!DH25</f>
        <v>125.99687833730385</v>
      </c>
      <c r="K35" s="119" t="s">
        <v>476</v>
      </c>
      <c r="L35" s="267"/>
      <c r="M35" s="259"/>
      <c r="N35" s="192"/>
      <c r="O35" s="192"/>
      <c r="P35" s="192"/>
      <c r="S35" s="192"/>
      <c r="T35" s="192"/>
      <c r="U35" s="192"/>
      <c r="AB35" s="382" t="s">
        <v>235</v>
      </c>
      <c r="AC35" s="385">
        <f>F36</f>
        <v>2425.4399079930995</v>
      </c>
    </row>
    <row r="36" spans="1:57" ht="20.399999999999999" x14ac:dyDescent="0.35">
      <c r="B36" s="289"/>
      <c r="C36" s="943" t="s">
        <v>54</v>
      </c>
      <c r="D36" s="944"/>
      <c r="E36" s="262"/>
      <c r="F36" s="280">
        <f>SUM(F32:F35)</f>
        <v>2425.4399079930995</v>
      </c>
      <c r="G36" s="119" t="s">
        <v>57</v>
      </c>
      <c r="H36" s="509">
        <f t="shared" ref="H36:J36" si="7">SUM(H32:H35)</f>
        <v>6.0635997699827485E-2</v>
      </c>
      <c r="I36" s="119" t="s">
        <v>206</v>
      </c>
      <c r="J36" s="280">
        <f t="shared" si="7"/>
        <v>4850.879815986199</v>
      </c>
      <c r="K36" s="119" t="s">
        <v>476</v>
      </c>
      <c r="L36" s="281"/>
      <c r="M36" s="259"/>
      <c r="AB36" s="382" t="s">
        <v>236</v>
      </c>
      <c r="AC36" s="386">
        <f>F43</f>
        <v>1451.2602836879432</v>
      </c>
    </row>
    <row r="37" spans="1:57" s="69" customFormat="1" ht="21" x14ac:dyDescent="0.4">
      <c r="A37" s="307"/>
      <c r="B37" s="287"/>
      <c r="C37" s="274"/>
      <c r="D37" s="270"/>
      <c r="E37" s="262"/>
      <c r="F37" s="276"/>
      <c r="G37" s="119"/>
      <c r="H37" s="277"/>
      <c r="I37" s="119"/>
      <c r="J37" s="237"/>
      <c r="K37" s="119"/>
      <c r="L37" s="267"/>
      <c r="M37" s="259"/>
      <c r="N37"/>
      <c r="O37"/>
      <c r="P37"/>
      <c r="S37"/>
      <c r="T37"/>
      <c r="U37"/>
      <c r="AB37" s="382" t="s">
        <v>237</v>
      </c>
      <c r="AC37" s="386">
        <f>F50</f>
        <v>96.109189189189195</v>
      </c>
      <c r="AE37" s="56"/>
      <c r="AF37"/>
      <c r="AG37"/>
      <c r="AH37"/>
      <c r="AI37"/>
      <c r="AJ37"/>
      <c r="AK37"/>
      <c r="AL37"/>
      <c r="AM37"/>
      <c r="AN37"/>
      <c r="AO37"/>
      <c r="AP37"/>
      <c r="AQ37"/>
      <c r="AR37"/>
      <c r="AS37"/>
      <c r="AT37"/>
      <c r="AU37"/>
      <c r="AV37"/>
      <c r="AW37"/>
      <c r="AX37"/>
      <c r="AY37"/>
      <c r="AZ37"/>
      <c r="BA37"/>
      <c r="BB37"/>
      <c r="BC37"/>
      <c r="BD37"/>
      <c r="BE37"/>
    </row>
    <row r="38" spans="1:57" s="69" customFormat="1" ht="17.399999999999999" x14ac:dyDescent="0.3">
      <c r="A38" s="307"/>
      <c r="B38" s="1081" t="s">
        <v>461</v>
      </c>
      <c r="C38" s="1082"/>
      <c r="D38" s="1082"/>
      <c r="E38" s="262"/>
      <c r="F38" s="276"/>
      <c r="G38" s="119"/>
      <c r="H38" s="277"/>
      <c r="I38" s="119"/>
      <c r="J38" s="237"/>
      <c r="K38" s="119"/>
      <c r="L38" s="267"/>
      <c r="M38" s="259"/>
      <c r="N38"/>
      <c r="O38"/>
      <c r="P38"/>
      <c r="S38"/>
      <c r="T38"/>
      <c r="U38"/>
      <c r="AB38" s="382" t="s">
        <v>141</v>
      </c>
      <c r="AC38" s="386">
        <f>F56</f>
        <v>12.76595744680851</v>
      </c>
      <c r="AE38" s="56"/>
    </row>
    <row r="39" spans="1:57" s="69" customFormat="1" ht="21" x14ac:dyDescent="0.4">
      <c r="A39" s="307"/>
      <c r="B39" s="287"/>
      <c r="C39" s="941" t="s">
        <v>229</v>
      </c>
      <c r="D39" s="942"/>
      <c r="E39" s="262"/>
      <c r="F39" s="276">
        <f>IF('Gårdens info'!$D$14&gt;0,J39/'Gårdens info'!$D$14,0)</f>
        <v>782.3505572441743</v>
      </c>
      <c r="G39" s="119" t="s">
        <v>57</v>
      </c>
      <c r="H39" s="502">
        <f>IF('Gårdens info'!$G$14&gt;0,F39/'Gårdens info'!$G$14,0)</f>
        <v>1.9558763931104357E-2</v>
      </c>
      <c r="I39" s="119" t="s">
        <v>206</v>
      </c>
      <c r="J39" s="237">
        <f>Egendom!AN61</f>
        <v>1564.7011144883486</v>
      </c>
      <c r="K39" s="119" t="s">
        <v>476</v>
      </c>
      <c r="L39" s="267"/>
      <c r="M39" s="259"/>
      <c r="AB39" s="382" t="s">
        <v>192</v>
      </c>
      <c r="AC39" s="384">
        <f>F62</f>
        <v>3103</v>
      </c>
      <c r="AE39" s="933"/>
    </row>
    <row r="40" spans="1:57" s="5" customFormat="1" ht="21" x14ac:dyDescent="0.4">
      <c r="A40" s="305"/>
      <c r="B40" s="287"/>
      <c r="C40" s="941" t="s">
        <v>230</v>
      </c>
      <c r="D40" s="942"/>
      <c r="E40" s="262"/>
      <c r="F40" s="276">
        <f>IF('Gårdens info'!$D$14&gt;0,J40/'Gårdens info'!$D$14,0)</f>
        <v>293.38145896656539</v>
      </c>
      <c r="G40" s="119" t="s">
        <v>57</v>
      </c>
      <c r="H40" s="502">
        <f>IF('Gårdens info'!$G$14&gt;0,F40/'Gårdens info'!$G$14,0)</f>
        <v>7.334536474164135E-3</v>
      </c>
      <c r="I40" s="119" t="s">
        <v>206</v>
      </c>
      <c r="J40" s="237">
        <f>Egendom!BL61</f>
        <v>586.76291793313078</v>
      </c>
      <c r="K40" s="119" t="s">
        <v>476</v>
      </c>
      <c r="L40" s="267"/>
      <c r="M40" s="259"/>
      <c r="N40" s="69"/>
      <c r="O40" s="69"/>
      <c r="P40" s="69"/>
      <c r="Q40" s="69"/>
      <c r="R40" s="69"/>
      <c r="S40" s="69"/>
      <c r="T40" s="69"/>
      <c r="U40" s="69"/>
      <c r="AE40" s="56"/>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row>
    <row r="41" spans="1:57" s="5" customFormat="1" ht="17.399999999999999" customHeight="1" x14ac:dyDescent="0.3">
      <c r="A41" s="305"/>
      <c r="B41" s="287"/>
      <c r="C41" s="1108" t="s">
        <v>232</v>
      </c>
      <c r="D41" s="1108"/>
      <c r="E41" s="262"/>
      <c r="F41" s="276">
        <f>IF('Gårdens info'!$D$14&gt;0,J41/'Gårdens info'!$D$14,0)</f>
        <v>352.05775075987839</v>
      </c>
      <c r="G41" s="119" t="s">
        <v>57</v>
      </c>
      <c r="H41" s="502">
        <f>IF('Gårdens info'!$G$14&gt;0,F41/'Gårdens info'!$G$14,0)</f>
        <v>8.8014437689969589E-3</v>
      </c>
      <c r="I41" s="119" t="s">
        <v>206</v>
      </c>
      <c r="J41" s="237">
        <f>Egendom!CJ61</f>
        <v>704.11550151975678</v>
      </c>
      <c r="K41" s="119" t="s">
        <v>476</v>
      </c>
      <c r="L41" s="267"/>
      <c r="M41" s="259"/>
      <c r="N41" s="69"/>
      <c r="O41" s="69"/>
      <c r="P41" s="69"/>
      <c r="Q41" s="69"/>
      <c r="R41" s="69"/>
      <c r="S41" s="69"/>
      <c r="T41" s="69"/>
      <c r="U41" s="69"/>
      <c r="AE41" s="56"/>
    </row>
    <row r="42" spans="1:57" s="5" customFormat="1" ht="21" x14ac:dyDescent="0.4">
      <c r="A42" s="305"/>
      <c r="B42" s="287"/>
      <c r="C42" s="941" t="s">
        <v>483</v>
      </c>
      <c r="D42" s="942"/>
      <c r="E42" s="262"/>
      <c r="F42" s="276">
        <f>IF('Gårdens info'!$D$14&gt;0,J42/'Gårdens info'!$D$14,0)</f>
        <v>23.470516717325225</v>
      </c>
      <c r="G42" s="119" t="s">
        <v>57</v>
      </c>
      <c r="H42" s="502">
        <f>IF('Gårdens info'!$G$14&gt;0,F42/'Gårdens info'!$G$14,0)</f>
        <v>5.8676291793313066E-4</v>
      </c>
      <c r="I42" s="119" t="s">
        <v>206</v>
      </c>
      <c r="J42" s="237">
        <f>Egendom!DH61</f>
        <v>46.94103343465045</v>
      </c>
      <c r="K42" s="119" t="s">
        <v>476</v>
      </c>
      <c r="L42" s="267"/>
      <c r="M42" s="259"/>
      <c r="AE42" s="56"/>
    </row>
    <row r="43" spans="1:57" s="5" customFormat="1" ht="20.399999999999999" x14ac:dyDescent="0.35">
      <c r="A43" s="305"/>
      <c r="B43" s="289"/>
      <c r="C43" s="943" t="s">
        <v>54</v>
      </c>
      <c r="D43" s="944"/>
      <c r="E43" s="262"/>
      <c r="F43" s="280">
        <f>SUM(F39:F42)</f>
        <v>1451.2602836879432</v>
      </c>
      <c r="G43" s="119" t="s">
        <v>57</v>
      </c>
      <c r="H43" s="509">
        <f t="shared" ref="H43:J43" si="8">SUM(H39:H42)</f>
        <v>3.628150709219858E-2</v>
      </c>
      <c r="I43" s="119" t="s">
        <v>206</v>
      </c>
      <c r="J43" s="280">
        <f t="shared" si="8"/>
        <v>2902.5205673758865</v>
      </c>
      <c r="K43" s="119" t="s">
        <v>476</v>
      </c>
      <c r="L43" s="281"/>
      <c r="M43" s="259"/>
      <c r="AE43" s="56"/>
    </row>
    <row r="44" spans="1:57" s="5" customFormat="1" ht="21" x14ac:dyDescent="0.4">
      <c r="A44" s="305"/>
      <c r="B44" s="287"/>
      <c r="C44" s="274"/>
      <c r="D44" s="270"/>
      <c r="E44" s="262"/>
      <c r="F44" s="276"/>
      <c r="G44" s="119"/>
      <c r="H44" s="277"/>
      <c r="I44" s="119"/>
      <c r="J44" s="237"/>
      <c r="K44" s="119"/>
      <c r="L44" s="267"/>
      <c r="M44" s="259"/>
      <c r="AE44" s="56"/>
    </row>
    <row r="45" spans="1:57" s="5" customFormat="1" ht="43.2" customHeight="1" x14ac:dyDescent="0.3">
      <c r="A45" s="305"/>
      <c r="B45" s="1081" t="s">
        <v>355</v>
      </c>
      <c r="C45" s="1082"/>
      <c r="D45" s="1082"/>
      <c r="E45" s="262"/>
      <c r="F45" s="276"/>
      <c r="G45" s="119"/>
      <c r="H45" s="277"/>
      <c r="I45" s="119"/>
      <c r="J45" s="237"/>
      <c r="K45" s="119"/>
      <c r="L45" s="267"/>
      <c r="M45" s="259"/>
      <c r="AE45" s="56"/>
    </row>
    <row r="46" spans="1:57" ht="21" x14ac:dyDescent="0.4">
      <c r="B46" s="287"/>
      <c r="C46" s="941" t="s">
        <v>229</v>
      </c>
      <c r="D46" s="942"/>
      <c r="E46" s="262"/>
      <c r="F46" s="276">
        <f>IF('Gårdens info'!$D$14&gt;0,J46/'Gårdens info'!$D$14,0)</f>
        <v>61.729729729729733</v>
      </c>
      <c r="G46" s="119" t="s">
        <v>57</v>
      </c>
      <c r="H46" s="502">
        <f>IF('Gårdens info'!$G$14&gt;0,F46/'Gårdens info'!$G$14,0)</f>
        <v>1.5432432432432434E-3</v>
      </c>
      <c r="I46" s="119" t="s">
        <v>206</v>
      </c>
      <c r="J46" s="237">
        <f>Egendom!AN90</f>
        <v>123.45945945945947</v>
      </c>
      <c r="K46" s="119" t="s">
        <v>476</v>
      </c>
      <c r="L46" s="267"/>
      <c r="M46" s="259"/>
      <c r="N46" s="5"/>
      <c r="O46" s="5"/>
      <c r="P46" s="5"/>
      <c r="Q46" s="5"/>
      <c r="R46" s="5"/>
      <c r="S46" s="5"/>
      <c r="T46" s="5"/>
      <c r="U46" s="5"/>
      <c r="AE46" s="56"/>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row>
    <row r="47" spans="1:57" s="5" customFormat="1" ht="21" x14ac:dyDescent="0.4">
      <c r="A47" s="305"/>
      <c r="B47" s="287"/>
      <c r="C47" s="941" t="s">
        <v>230</v>
      </c>
      <c r="D47" s="942"/>
      <c r="E47" s="262"/>
      <c r="F47" s="276">
        <f>IF('Gårdens info'!$D$14&gt;0,J47/'Gårdens info'!$D$14,0)</f>
        <v>11.162162162162163</v>
      </c>
      <c r="G47" s="119" t="s">
        <v>57</v>
      </c>
      <c r="H47" s="502">
        <f>IF('Gårdens info'!$G$14&gt;0,F47/'Gårdens info'!$G$14,0)</f>
        <v>2.7905405405405408E-4</v>
      </c>
      <c r="I47" s="119" t="s">
        <v>206</v>
      </c>
      <c r="J47" s="237">
        <f>Egendom!BL90</f>
        <v>22.324324324324326</v>
      </c>
      <c r="K47" s="119" t="s">
        <v>476</v>
      </c>
      <c r="L47" s="267"/>
      <c r="M47" s="259"/>
      <c r="AE47" s="56"/>
      <c r="AF47"/>
      <c r="AG47"/>
      <c r="AH47"/>
      <c r="AI47"/>
      <c r="AJ47"/>
      <c r="AK47"/>
      <c r="AL47"/>
      <c r="AM47"/>
      <c r="AN47"/>
      <c r="AO47"/>
      <c r="AP47"/>
      <c r="AQ47"/>
      <c r="AR47"/>
      <c r="AS47"/>
      <c r="AT47"/>
      <c r="AU47"/>
      <c r="AV47"/>
      <c r="AW47"/>
      <c r="AX47"/>
      <c r="AY47"/>
      <c r="AZ47"/>
      <c r="BA47"/>
      <c r="BB47"/>
      <c r="BC47"/>
      <c r="BD47"/>
      <c r="BE47"/>
    </row>
    <row r="48" spans="1:57" s="5" customFormat="1" ht="17.399999999999999" customHeight="1" x14ac:dyDescent="0.3">
      <c r="A48" s="305"/>
      <c r="B48" s="287"/>
      <c r="C48" s="1108" t="s">
        <v>232</v>
      </c>
      <c r="D48" s="1108"/>
      <c r="E48" s="262"/>
      <c r="F48" s="276">
        <f>IF('Gårdens info'!$D$14&gt;0,J48/'Gårdens info'!$D$14,0)</f>
        <v>22.324324324324326</v>
      </c>
      <c r="G48" s="119" t="s">
        <v>57</v>
      </c>
      <c r="H48" s="502">
        <f>IF('Gårdens info'!$G$14&gt;0,F48/'Gårdens info'!$G$14,0)</f>
        <v>5.5810810810810816E-4</v>
      </c>
      <c r="I48" s="119" t="s">
        <v>206</v>
      </c>
      <c r="J48" s="237">
        <f>Egendom!CJ90</f>
        <v>44.648648648648653</v>
      </c>
      <c r="K48" s="119" t="s">
        <v>476</v>
      </c>
      <c r="L48" s="267"/>
      <c r="M48" s="259"/>
      <c r="N48"/>
      <c r="O48"/>
      <c r="P48"/>
      <c r="Q48"/>
      <c r="R48"/>
      <c r="S48"/>
      <c r="T48"/>
      <c r="U48"/>
      <c r="AE48" s="56"/>
    </row>
    <row r="49" spans="1:31" s="5" customFormat="1" ht="21" x14ac:dyDescent="0.4">
      <c r="A49" s="305"/>
      <c r="B49" s="287"/>
      <c r="C49" s="941" t="s">
        <v>483</v>
      </c>
      <c r="D49" s="942"/>
      <c r="E49" s="262"/>
      <c r="F49" s="276">
        <f>IF('Gårdens info'!$D$14&gt;0,J49/'Gårdens info'!$D$14,0)</f>
        <v>0.89297297297297318</v>
      </c>
      <c r="G49" s="119" t="s">
        <v>57</v>
      </c>
      <c r="H49" s="502">
        <f>IF('Gårdens info'!$G$14&gt;0,F49/'Gårdens info'!$G$14,0)</f>
        <v>2.2324324324324329E-5</v>
      </c>
      <c r="I49" s="119" t="s">
        <v>206</v>
      </c>
      <c r="J49" s="237">
        <f>Egendom!DH90</f>
        <v>1.7859459459459464</v>
      </c>
      <c r="K49" s="119" t="s">
        <v>476</v>
      </c>
      <c r="L49" s="267"/>
      <c r="M49" s="259"/>
      <c r="AE49" s="56"/>
    </row>
    <row r="50" spans="1:31" s="5" customFormat="1" ht="20.399999999999999" x14ac:dyDescent="0.35">
      <c r="A50" s="305"/>
      <c r="B50" s="289"/>
      <c r="C50" s="943" t="s">
        <v>54</v>
      </c>
      <c r="D50" s="944"/>
      <c r="E50" s="262"/>
      <c r="F50" s="280">
        <f>SUM(F46:F49)</f>
        <v>96.109189189189195</v>
      </c>
      <c r="G50" s="119" t="s">
        <v>57</v>
      </c>
      <c r="H50" s="509">
        <f t="shared" ref="H50:J50" si="9">SUM(H46:H49)</f>
        <v>2.4027297297297299E-3</v>
      </c>
      <c r="I50" s="119" t="s">
        <v>206</v>
      </c>
      <c r="J50" s="280">
        <f t="shared" si="9"/>
        <v>192.21837837837839</v>
      </c>
      <c r="K50" s="119" t="s">
        <v>476</v>
      </c>
      <c r="L50" s="281"/>
      <c r="M50" s="259"/>
      <c r="AE50" s="56"/>
    </row>
    <row r="51" spans="1:31" s="5" customFormat="1" ht="21" x14ac:dyDescent="0.4">
      <c r="A51" s="305"/>
      <c r="B51" s="287"/>
      <c r="C51" s="274"/>
      <c r="D51" s="270"/>
      <c r="E51" s="262"/>
      <c r="F51" s="276"/>
      <c r="G51" s="119"/>
      <c r="H51" s="277"/>
      <c r="I51" s="119"/>
      <c r="J51" s="237"/>
      <c r="K51" s="119"/>
      <c r="L51" s="267"/>
      <c r="M51" s="259"/>
      <c r="AE51" s="56"/>
    </row>
    <row r="52" spans="1:31" s="5" customFormat="1" ht="21" x14ac:dyDescent="0.4">
      <c r="A52" s="305"/>
      <c r="B52" s="1084" t="s">
        <v>139</v>
      </c>
      <c r="C52" s="1085"/>
      <c r="D52" s="270"/>
      <c r="E52" s="262"/>
      <c r="F52" s="276"/>
      <c r="G52" s="119"/>
      <c r="H52" s="277"/>
      <c r="I52" s="119"/>
      <c r="J52" s="237"/>
      <c r="K52" s="119"/>
      <c r="L52" s="267"/>
      <c r="M52" s="259"/>
      <c r="AE52" s="56"/>
    </row>
    <row r="53" spans="1:31" s="5" customFormat="1" ht="21" x14ac:dyDescent="0.4">
      <c r="A53" s="305"/>
      <c r="B53" s="287"/>
      <c r="C53" s="941" t="s">
        <v>229</v>
      </c>
      <c r="D53" s="942"/>
      <c r="E53" s="262"/>
      <c r="F53" s="276">
        <f>IF('Gårdens info'!$D$14&gt;0,J53/'Gårdens info'!$D$14,0)</f>
        <v>0</v>
      </c>
      <c r="G53" s="119" t="s">
        <v>57</v>
      </c>
      <c r="H53" s="502">
        <f>IF('Gårdens info'!$G$14&gt;0,F53/'Gårdens info'!$G$14,0)</f>
        <v>0</v>
      </c>
      <c r="I53" s="119" t="s">
        <v>206</v>
      </c>
      <c r="J53" s="237">
        <f>Egendom!AN93</f>
        <v>0</v>
      </c>
      <c r="K53" s="119" t="s">
        <v>476</v>
      </c>
      <c r="L53" s="267"/>
      <c r="M53" s="259"/>
      <c r="AE53" s="56"/>
    </row>
    <row r="54" spans="1:31" s="5" customFormat="1" ht="19.95" customHeight="1" x14ac:dyDescent="0.4">
      <c r="A54" s="305"/>
      <c r="B54" s="287"/>
      <c r="C54" s="941" t="s">
        <v>230</v>
      </c>
      <c r="D54" s="942"/>
      <c r="E54" s="262"/>
      <c r="F54" s="276">
        <f>IF('Gårdens info'!$D$14&gt;0,J54/'Gårdens info'!$D$14,0)</f>
        <v>0</v>
      </c>
      <c r="G54" s="119" t="s">
        <v>57</v>
      </c>
      <c r="H54" s="502">
        <f>IF('Gårdens info'!$G$14&gt;0,F54/'Gårdens info'!$G$14,0)</f>
        <v>0</v>
      </c>
      <c r="I54" s="119" t="s">
        <v>206</v>
      </c>
      <c r="J54" s="237">
        <f>Egendom!BL93</f>
        <v>0</v>
      </c>
      <c r="K54" s="119" t="s">
        <v>476</v>
      </c>
      <c r="L54" s="267"/>
      <c r="M54" s="259"/>
    </row>
    <row r="55" spans="1:31" s="5" customFormat="1" ht="17.399999999999999" customHeight="1" x14ac:dyDescent="0.3">
      <c r="A55" s="305"/>
      <c r="B55" s="287"/>
      <c r="C55" s="1108" t="s">
        <v>232</v>
      </c>
      <c r="D55" s="1108"/>
      <c r="E55" s="262"/>
      <c r="F55" s="276">
        <f>IF('Gårdens info'!$D$14&gt;0,J55/'Gårdens info'!$D$14,0)</f>
        <v>12.76595744680851</v>
      </c>
      <c r="G55" s="119" t="s">
        <v>57</v>
      </c>
      <c r="H55" s="502">
        <f>IF('Gårdens info'!$G$14&gt;0,F55/'Gårdens info'!$G$14,0)</f>
        <v>3.1914893617021275E-4</v>
      </c>
      <c r="I55" s="119" t="s">
        <v>206</v>
      </c>
      <c r="J55" s="237">
        <f>Egendom!CJ93</f>
        <v>25.531914893617021</v>
      </c>
      <c r="K55" s="119" t="s">
        <v>476</v>
      </c>
      <c r="L55" s="267"/>
      <c r="M55" s="259"/>
    </row>
    <row r="56" spans="1:31" s="5" customFormat="1" ht="15.6" x14ac:dyDescent="0.3">
      <c r="A56" s="305"/>
      <c r="B56" s="286"/>
      <c r="C56" s="261" t="s">
        <v>54</v>
      </c>
      <c r="D56" s="261"/>
      <c r="E56" s="261"/>
      <c r="F56" s="280">
        <f>SUM(F53:F55)</f>
        <v>12.76595744680851</v>
      </c>
      <c r="G56" s="119" t="s">
        <v>57</v>
      </c>
      <c r="H56" s="509">
        <f t="shared" ref="H56:J56" si="10">SUM(H53:H55)</f>
        <v>3.1914893617021275E-4</v>
      </c>
      <c r="I56" s="119" t="s">
        <v>206</v>
      </c>
      <c r="J56" s="280">
        <f t="shared" si="10"/>
        <v>25.531914893617021</v>
      </c>
      <c r="K56" s="119" t="s">
        <v>476</v>
      </c>
      <c r="L56" s="284"/>
      <c r="M56" s="290"/>
    </row>
    <row r="57" spans="1:31" s="5" customFormat="1" ht="21" x14ac:dyDescent="0.4">
      <c r="A57" s="305"/>
      <c r="B57" s="1061" t="s">
        <v>191</v>
      </c>
      <c r="C57" s="1043"/>
      <c r="D57" s="1043"/>
      <c r="E57" s="262"/>
      <c r="F57" s="266">
        <f>F36+F43+F50+F56</f>
        <v>3985.5753383170404</v>
      </c>
      <c r="G57" s="267" t="s">
        <v>57</v>
      </c>
      <c r="H57" s="507">
        <f>H36+H43+H50+H56</f>
        <v>9.9639383457926015E-2</v>
      </c>
      <c r="I57" s="267" t="s">
        <v>206</v>
      </c>
      <c r="J57" s="269">
        <f>J36+J43+J50+J56</f>
        <v>7971.1506766340808</v>
      </c>
      <c r="K57" s="267" t="s">
        <v>476</v>
      </c>
      <c r="L57" s="267"/>
      <c r="M57" s="259"/>
    </row>
    <row r="58" spans="1:31" s="5" customFormat="1" ht="15.6" x14ac:dyDescent="0.3">
      <c r="A58" s="305"/>
      <c r="B58" s="286"/>
      <c r="C58" s="262"/>
      <c r="D58" s="262"/>
      <c r="E58" s="262"/>
      <c r="F58" s="263"/>
      <c r="G58" s="243"/>
      <c r="H58" s="264"/>
      <c r="I58" s="243"/>
      <c r="J58" s="258"/>
      <c r="K58" s="243"/>
      <c r="L58" s="265"/>
      <c r="M58" s="259"/>
    </row>
    <row r="59" spans="1:31" s="5" customFormat="1" ht="21" x14ac:dyDescent="0.4">
      <c r="A59" s="305"/>
      <c r="B59" s="257" t="s">
        <v>192</v>
      </c>
      <c r="C59" s="262"/>
      <c r="D59" s="262"/>
      <c r="E59" s="262"/>
      <c r="F59" s="263"/>
      <c r="G59" s="243"/>
      <c r="H59" s="264"/>
      <c r="I59" s="243"/>
      <c r="J59" s="258"/>
      <c r="K59" s="243"/>
      <c r="L59" s="265"/>
      <c r="M59" s="259"/>
    </row>
    <row r="60" spans="1:31" s="5" customFormat="1" ht="15" x14ac:dyDescent="0.25">
      <c r="A60" s="305"/>
      <c r="B60" s="235"/>
      <c r="C60" s="228" t="s">
        <v>192</v>
      </c>
      <c r="D60" s="236"/>
      <c r="E60" s="236"/>
      <c r="F60" s="237">
        <f>IF('Gårdens info'!D14&gt;0,H181,0)</f>
        <v>3103</v>
      </c>
      <c r="G60" s="119" t="s">
        <v>57</v>
      </c>
      <c r="H60" s="503">
        <f>IF('Gårdens info'!G14&gt;0,F60/'Gårdens info'!$G$14,0)</f>
        <v>7.7575000000000005E-2</v>
      </c>
      <c r="I60" s="119" t="s">
        <v>206</v>
      </c>
      <c r="J60" s="237">
        <f>F60*'Gårdens info'!D14</f>
        <v>6206</v>
      </c>
      <c r="K60" s="119" t="s">
        <v>476</v>
      </c>
      <c r="L60" s="236"/>
      <c r="M60" s="239"/>
    </row>
    <row r="61" spans="1:31" s="5" customFormat="1" ht="17.399999999999999" x14ac:dyDescent="0.3">
      <c r="A61" s="305"/>
      <c r="B61" s="248"/>
      <c r="C61" s="245"/>
      <c r="D61" s="249"/>
      <c r="E61" s="249"/>
      <c r="F61" s="250"/>
      <c r="G61" s="120"/>
      <c r="H61" s="249"/>
      <c r="I61" s="249"/>
      <c r="J61" s="249"/>
      <c r="K61" s="249"/>
      <c r="L61" s="249"/>
      <c r="M61" s="234"/>
    </row>
    <row r="62" spans="1:31" s="5" customFormat="1" ht="21" x14ac:dyDescent="0.4">
      <c r="A62" s="305"/>
      <c r="B62" s="345" t="s">
        <v>194</v>
      </c>
      <c r="C62" s="346"/>
      <c r="D62" s="346"/>
      <c r="E62" s="262"/>
      <c r="F62" s="266">
        <f>F60</f>
        <v>3103</v>
      </c>
      <c r="G62" s="267" t="s">
        <v>57</v>
      </c>
      <c r="H62" s="507">
        <f>H60</f>
        <v>7.7575000000000005E-2</v>
      </c>
      <c r="I62" s="267" t="s">
        <v>206</v>
      </c>
      <c r="J62" s="269">
        <f>J60</f>
        <v>6206</v>
      </c>
      <c r="K62" s="267" t="s">
        <v>476</v>
      </c>
      <c r="L62" s="267"/>
      <c r="M62" s="259"/>
    </row>
    <row r="63" spans="1:31" s="5" customFormat="1" ht="21" x14ac:dyDescent="0.4">
      <c r="A63" s="305"/>
      <c r="B63" s="288"/>
      <c r="C63" s="270"/>
      <c r="D63" s="270"/>
      <c r="E63" s="262"/>
      <c r="F63" s="266"/>
      <c r="G63" s="267"/>
      <c r="H63" s="507"/>
      <c r="I63" s="267"/>
      <c r="J63" s="269"/>
      <c r="K63" s="267"/>
      <c r="L63" s="267"/>
      <c r="M63" s="259"/>
    </row>
    <row r="64" spans="1:31" s="5" customFormat="1" ht="21" x14ac:dyDescent="0.4">
      <c r="A64" s="305"/>
      <c r="B64" s="1061" t="s">
        <v>195</v>
      </c>
      <c r="C64" s="1043"/>
      <c r="D64" s="1043"/>
      <c r="E64" s="262"/>
      <c r="F64" s="266">
        <f>F28+F57+F62</f>
        <v>16024.500753210657</v>
      </c>
      <c r="G64" s="267" t="s">
        <v>57</v>
      </c>
      <c r="H64" s="572">
        <f>H28+H57+H62</f>
        <v>0.4006125188302665</v>
      </c>
      <c r="I64" s="267" t="s">
        <v>206</v>
      </c>
      <c r="J64" s="266">
        <f>J28+J57+J62</f>
        <v>32049.001506421315</v>
      </c>
      <c r="K64" s="267" t="s">
        <v>476</v>
      </c>
      <c r="L64" s="267"/>
      <c r="M64" s="259"/>
    </row>
    <row r="65" spans="1:57" s="5" customFormat="1" ht="21" customHeight="1" x14ac:dyDescent="0.4">
      <c r="A65" s="305"/>
      <c r="B65" s="288"/>
      <c r="C65" s="270"/>
      <c r="D65" s="270"/>
      <c r="E65" s="262"/>
      <c r="F65" s="266"/>
      <c r="G65" s="267"/>
      <c r="H65" s="268"/>
      <c r="I65" s="267"/>
      <c r="J65" s="269"/>
      <c r="K65" s="267"/>
      <c r="L65" s="267"/>
      <c r="M65" s="259"/>
    </row>
    <row r="66" spans="1:57" s="5" customFormat="1" ht="21.6" thickBot="1" x14ac:dyDescent="0.45">
      <c r="A66" s="305"/>
      <c r="B66" s="1059" t="s">
        <v>198</v>
      </c>
      <c r="C66" s="1060"/>
      <c r="D66" s="1060"/>
      <c r="E66" s="253"/>
      <c r="F66" s="292">
        <f>F11-F28-F57-F62</f>
        <v>14202.599246789341</v>
      </c>
      <c r="G66" s="293" t="s">
        <v>57</v>
      </c>
      <c r="H66" s="510">
        <f>H11-H28-H57-H62</f>
        <v>0.35506498116973356</v>
      </c>
      <c r="I66" s="293" t="s">
        <v>206</v>
      </c>
      <c r="J66" s="292">
        <f>J11-J28-J57-J62</f>
        <v>28405.198493578682</v>
      </c>
      <c r="K66" s="293" t="s">
        <v>476</v>
      </c>
      <c r="L66" s="293"/>
      <c r="M66" s="254"/>
    </row>
    <row r="67" spans="1:57" s="5" customFormat="1" ht="21" x14ac:dyDescent="0.4">
      <c r="A67" s="305"/>
      <c r="B67" s="55"/>
      <c r="C67"/>
      <c r="D67"/>
      <c r="E67"/>
      <c r="F67"/>
      <c r="G67"/>
      <c r="H67"/>
      <c r="I67"/>
      <c r="J67"/>
      <c r="K67"/>
      <c r="L67"/>
      <c r="M67"/>
    </row>
    <row r="68" spans="1:57" s="194" customFormat="1" ht="16.2" thickBot="1" x14ac:dyDescent="0.35">
      <c r="A68" s="309"/>
      <c r="B68"/>
      <c r="C68"/>
      <c r="D68"/>
      <c r="E68"/>
      <c r="F68"/>
      <c r="G68"/>
      <c r="H68"/>
      <c r="I68"/>
      <c r="J68"/>
      <c r="K68"/>
      <c r="L68"/>
      <c r="M68"/>
      <c r="N68" s="5"/>
      <c r="O68" s="5"/>
      <c r="P68" s="5"/>
      <c r="Q68" s="5"/>
      <c r="R68" s="5"/>
      <c r="S68" s="5"/>
      <c r="T68" s="5"/>
      <c r="U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row>
    <row r="69" spans="1:57" s="5" customFormat="1" ht="21.6" thickBot="1" x14ac:dyDescent="0.45">
      <c r="A69" s="305"/>
      <c r="B69" s="1078" t="s">
        <v>240</v>
      </c>
      <c r="C69" s="1079"/>
      <c r="D69" s="1079"/>
      <c r="E69" s="1080"/>
      <c r="F69"/>
      <c r="G69"/>
      <c r="H69"/>
      <c r="I69"/>
      <c r="J69"/>
      <c r="K69"/>
      <c r="L69" s="1099" t="s">
        <v>241</v>
      </c>
      <c r="M69" s="1099"/>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4"/>
      <c r="BB69" s="194"/>
      <c r="BC69" s="194"/>
      <c r="BD69" s="194"/>
      <c r="BE69" s="194"/>
    </row>
    <row r="70" spans="1:57" s="5" customFormat="1" ht="21" x14ac:dyDescent="0.4">
      <c r="A70" s="305"/>
      <c r="B70" s="334"/>
      <c r="C70" s="334"/>
      <c r="D70" s="334"/>
      <c r="E70" s="334"/>
      <c r="F70" s="116"/>
      <c r="G70" s="116"/>
      <c r="H70" s="116"/>
      <c r="I70" s="116"/>
      <c r="J70" s="116"/>
      <c r="K70" s="116"/>
      <c r="L70" s="461"/>
      <c r="M70" s="461"/>
    </row>
    <row r="71" spans="1:57" ht="15.6" x14ac:dyDescent="0.3">
      <c r="B71" s="89" t="s">
        <v>14</v>
      </c>
      <c r="C71" s="44"/>
      <c r="D71" s="44"/>
      <c r="E71" s="44"/>
      <c r="F71" s="1077" t="s">
        <v>484</v>
      </c>
      <c r="G71" s="1077"/>
      <c r="H71" s="1077" t="s">
        <v>113</v>
      </c>
      <c r="I71" s="1077"/>
      <c r="J71" s="1077" t="s">
        <v>243</v>
      </c>
      <c r="K71" s="1077"/>
      <c r="L71" s="111" t="s">
        <v>244</v>
      </c>
      <c r="M71" s="46"/>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row>
    <row r="72" spans="1:57" ht="13.8" thickBot="1" x14ac:dyDescent="0.3">
      <c r="B72" s="48"/>
      <c r="C72" s="44"/>
      <c r="D72" s="44"/>
      <c r="E72" s="44"/>
      <c r="F72" s="44"/>
      <c r="G72" s="44"/>
      <c r="H72" s="44"/>
      <c r="I72" s="44"/>
      <c r="J72" s="46"/>
      <c r="K72" s="46"/>
      <c r="L72" s="46"/>
      <c r="M72" s="46"/>
    </row>
    <row r="73" spans="1:57" ht="13.8" thickBot="1" x14ac:dyDescent="0.3">
      <c r="B73" s="44"/>
      <c r="C73" s="45" t="s">
        <v>164</v>
      </c>
      <c r="D73" s="46"/>
      <c r="E73" s="44"/>
      <c r="F73" s="74">
        <v>1300</v>
      </c>
      <c r="G73" s="44" t="s">
        <v>212</v>
      </c>
      <c r="H73" s="77">
        <v>1.1000000000000001</v>
      </c>
      <c r="I73" s="49" t="s">
        <v>206</v>
      </c>
      <c r="J73" s="191">
        <f>F73*H73</f>
        <v>1430.0000000000002</v>
      </c>
      <c r="K73" s="44" t="s">
        <v>57</v>
      </c>
      <c r="L73" s="44"/>
      <c r="M73" s="46"/>
    </row>
    <row r="74" spans="1:57" s="5" customFormat="1" x14ac:dyDescent="0.25">
      <c r="A74" s="305"/>
      <c r="B74" s="50"/>
      <c r="C74" s="50" t="s">
        <v>54</v>
      </c>
      <c r="D74" s="466"/>
      <c r="E74" s="50"/>
      <c r="F74" s="218"/>
      <c r="G74" s="50"/>
      <c r="H74" s="467"/>
      <c r="I74" s="219"/>
      <c r="J74" s="220"/>
      <c r="K74" s="50"/>
      <c r="L74" s="50"/>
      <c r="M74" s="50"/>
      <c r="AE74"/>
      <c r="AF74"/>
      <c r="AG74"/>
      <c r="AH74"/>
      <c r="AI74"/>
      <c r="AJ74"/>
      <c r="AK74"/>
      <c r="AL74"/>
      <c r="AM74"/>
      <c r="AN74"/>
      <c r="AO74"/>
      <c r="AP74"/>
      <c r="AQ74"/>
      <c r="AR74"/>
      <c r="AS74"/>
      <c r="AT74"/>
      <c r="AU74"/>
      <c r="AV74"/>
      <c r="AW74"/>
      <c r="AX74"/>
      <c r="AY74"/>
      <c r="AZ74"/>
      <c r="BA74"/>
      <c r="BB74"/>
      <c r="BC74"/>
      <c r="BD74"/>
      <c r="BE74"/>
    </row>
    <row r="75" spans="1:57" x14ac:dyDescent="0.25">
      <c r="B75" s="435"/>
      <c r="C75" s="435"/>
      <c r="D75" s="464"/>
      <c r="E75" s="435"/>
      <c r="F75" s="465"/>
      <c r="G75" s="435"/>
      <c r="H75" s="246"/>
      <c r="I75" s="437"/>
      <c r="J75" s="232"/>
      <c r="K75" s="435"/>
      <c r="L75" s="116"/>
      <c r="M75" s="116"/>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row>
    <row r="76" spans="1:57" s="5" customFormat="1" ht="15.6" x14ac:dyDescent="0.3">
      <c r="A76" s="305"/>
      <c r="B76" s="96" t="s">
        <v>247</v>
      </c>
      <c r="C76" s="97"/>
      <c r="D76" s="97"/>
      <c r="E76" s="97"/>
      <c r="F76" s="1074" t="s">
        <v>484</v>
      </c>
      <c r="G76" s="1074"/>
      <c r="H76" s="1074" t="s">
        <v>113</v>
      </c>
      <c r="I76" s="1074"/>
      <c r="J76" s="1074" t="s">
        <v>243</v>
      </c>
      <c r="K76" s="1074"/>
      <c r="L76" s="99"/>
      <c r="M76" s="99"/>
      <c r="AE76"/>
      <c r="AF76"/>
      <c r="AG76"/>
      <c r="AH76"/>
      <c r="AI76"/>
      <c r="AJ76"/>
      <c r="AK76"/>
      <c r="AL76"/>
      <c r="AM76"/>
      <c r="AN76"/>
      <c r="AO76"/>
      <c r="AP76"/>
      <c r="AQ76"/>
      <c r="AR76"/>
      <c r="AS76"/>
      <c r="AT76"/>
      <c r="AU76"/>
      <c r="AV76"/>
      <c r="AW76"/>
      <c r="AX76"/>
      <c r="AY76"/>
      <c r="AZ76"/>
      <c r="BA76"/>
      <c r="BB76"/>
      <c r="BC76"/>
      <c r="BD76"/>
      <c r="BE76"/>
    </row>
    <row r="77" spans="1:57" s="56" customFormat="1" ht="18" thickBot="1" x14ac:dyDescent="0.35">
      <c r="A77" s="306"/>
      <c r="B77" s="97"/>
      <c r="C77" s="97"/>
      <c r="D77" s="97"/>
      <c r="E77" s="97"/>
      <c r="F77" s="97"/>
      <c r="G77" s="97"/>
      <c r="H77" s="98"/>
      <c r="I77" s="98"/>
      <c r="J77" s="99"/>
      <c r="K77" s="99"/>
      <c r="L77" s="99"/>
      <c r="M77" s="99"/>
      <c r="N77" s="5"/>
      <c r="O77" s="5"/>
      <c r="P77" s="5"/>
      <c r="Q77" s="5"/>
      <c r="R77" s="5"/>
      <c r="S77" s="5"/>
      <c r="T77" s="5"/>
      <c r="U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row>
    <row r="78" spans="1:57" s="69" customFormat="1" ht="18" thickBot="1" x14ac:dyDescent="0.35">
      <c r="A78" s="307"/>
      <c r="B78" s="97"/>
      <c r="C78" s="945" t="s">
        <v>358</v>
      </c>
      <c r="D78" s="99"/>
      <c r="E78" s="97"/>
      <c r="F78" s="94">
        <v>800</v>
      </c>
      <c r="G78" s="97" t="s">
        <v>212</v>
      </c>
      <c r="H78" s="77">
        <v>0.75</v>
      </c>
      <c r="I78" s="98" t="s">
        <v>206</v>
      </c>
      <c r="J78" s="100">
        <f>F78*H78</f>
        <v>600</v>
      </c>
      <c r="K78" s="97" t="s">
        <v>57</v>
      </c>
      <c r="L78" s="99"/>
      <c r="M78" s="99"/>
      <c r="N78" s="5"/>
      <c r="O78" s="5"/>
      <c r="P78" s="5"/>
      <c r="Q78" s="5"/>
      <c r="R78" s="5"/>
      <c r="S78" s="5"/>
      <c r="T78" s="5"/>
      <c r="U78" s="5"/>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row>
    <row r="79" spans="1:57" s="56" customFormat="1" ht="18" thickBot="1" x14ac:dyDescent="0.35">
      <c r="A79" s="306"/>
      <c r="B79" s="97"/>
      <c r="C79" s="945" t="s">
        <v>360</v>
      </c>
      <c r="D79" s="99"/>
      <c r="E79" s="97"/>
      <c r="F79" s="74">
        <v>110</v>
      </c>
      <c r="G79" s="97" t="s">
        <v>212</v>
      </c>
      <c r="H79" s="77">
        <v>0.4</v>
      </c>
      <c r="I79" s="98" t="s">
        <v>206</v>
      </c>
      <c r="J79" s="100">
        <f t="shared" ref="J79:J82" si="11">F79*H79</f>
        <v>44</v>
      </c>
      <c r="K79" s="97" t="s">
        <v>57</v>
      </c>
      <c r="L79" s="99"/>
      <c r="M79" s="99"/>
      <c r="N79" s="69"/>
      <c r="O79" s="69"/>
      <c r="P79" s="69"/>
      <c r="Q79" s="69"/>
      <c r="R79" s="69"/>
      <c r="S79" s="69"/>
      <c r="T79" s="69"/>
      <c r="U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row>
    <row r="80" spans="1:57" s="69" customFormat="1" ht="18" thickBot="1" x14ac:dyDescent="0.35">
      <c r="A80" s="307"/>
      <c r="B80" s="97"/>
      <c r="C80" s="945" t="s">
        <v>361</v>
      </c>
      <c r="D80" s="99"/>
      <c r="E80" s="97"/>
      <c r="F80" s="74">
        <v>1400</v>
      </c>
      <c r="G80" s="97" t="s">
        <v>212</v>
      </c>
      <c r="H80" s="77">
        <v>0.46</v>
      </c>
      <c r="I80" s="98" t="s">
        <v>206</v>
      </c>
      <c r="J80" s="100">
        <f t="shared" si="11"/>
        <v>644</v>
      </c>
      <c r="K80" s="97" t="s">
        <v>57</v>
      </c>
      <c r="L80" s="99"/>
      <c r="M80" s="99"/>
      <c r="N80" s="5"/>
      <c r="O80" s="5"/>
      <c r="P80" s="5"/>
      <c r="Q80" s="5"/>
      <c r="R80" s="5"/>
      <c r="S80" s="5"/>
      <c r="T80" s="5"/>
      <c r="U80" s="5"/>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row>
    <row r="81" spans="1:57" s="56" customFormat="1" ht="18" thickBot="1" x14ac:dyDescent="0.35">
      <c r="A81" s="306"/>
      <c r="B81" s="97"/>
      <c r="C81" s="945" t="s">
        <v>251</v>
      </c>
      <c r="D81" s="97"/>
      <c r="E81" s="97"/>
      <c r="F81" s="74"/>
      <c r="G81" s="97" t="s">
        <v>212</v>
      </c>
      <c r="H81" s="77"/>
      <c r="I81" s="98" t="s">
        <v>206</v>
      </c>
      <c r="J81" s="100">
        <f t="shared" si="11"/>
        <v>0</v>
      </c>
      <c r="K81" s="97" t="s">
        <v>57</v>
      </c>
      <c r="L81" s="99"/>
      <c r="M81" s="9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row>
    <row r="82" spans="1:57" ht="18" thickBot="1" x14ac:dyDescent="0.35">
      <c r="B82" s="97"/>
      <c r="C82" s="945" t="s">
        <v>251</v>
      </c>
      <c r="D82" s="97"/>
      <c r="E82" s="97"/>
      <c r="F82" s="74"/>
      <c r="G82" s="97" t="s">
        <v>212</v>
      </c>
      <c r="H82" s="77"/>
      <c r="I82" s="98" t="s">
        <v>206</v>
      </c>
      <c r="J82" s="100">
        <f t="shared" si="11"/>
        <v>0</v>
      </c>
      <c r="K82" s="97" t="s">
        <v>57</v>
      </c>
      <c r="L82" s="99"/>
      <c r="M82" s="99"/>
      <c r="N82" s="69"/>
      <c r="O82" s="69"/>
      <c r="P82" s="69"/>
      <c r="Q82" s="69"/>
      <c r="R82" s="69"/>
      <c r="S82" s="69"/>
      <c r="T82" s="69"/>
      <c r="U82" s="69"/>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row>
    <row r="83" spans="1:57" s="69" customFormat="1" ht="17.399999999999999" x14ac:dyDescent="0.3">
      <c r="A83" s="307"/>
      <c r="B83" s="214"/>
      <c r="C83" s="946" t="s">
        <v>54</v>
      </c>
      <c r="D83" s="214"/>
      <c r="E83" s="214"/>
      <c r="F83" s="214"/>
      <c r="G83" s="214"/>
      <c r="H83" s="214"/>
      <c r="I83" s="215"/>
      <c r="J83" s="216">
        <f>SUM(J78:J82)</f>
        <v>1288</v>
      </c>
      <c r="K83" s="214" t="s">
        <v>57</v>
      </c>
      <c r="L83" s="214"/>
      <c r="M83" s="214"/>
      <c r="N83" s="56"/>
      <c r="O83" s="56"/>
      <c r="P83" s="56"/>
      <c r="Q83" s="56"/>
      <c r="R83" s="56"/>
      <c r="S83" s="56"/>
      <c r="T83" s="56"/>
      <c r="U83" s="56"/>
      <c r="AE83"/>
      <c r="AF83"/>
      <c r="AG83"/>
      <c r="AH83"/>
      <c r="AI83"/>
      <c r="AJ83"/>
      <c r="AK83"/>
      <c r="AL83"/>
      <c r="AM83"/>
      <c r="AN83"/>
      <c r="AO83"/>
      <c r="AP83"/>
      <c r="AQ83"/>
      <c r="AR83"/>
      <c r="AS83"/>
      <c r="AT83"/>
      <c r="AU83"/>
      <c r="AV83"/>
      <c r="AW83"/>
      <c r="AX83"/>
      <c r="AY83"/>
      <c r="AZ83"/>
      <c r="BA83"/>
      <c r="BB83"/>
      <c r="BC83"/>
      <c r="BD83"/>
      <c r="BE83"/>
    </row>
    <row r="84" spans="1:57" s="5" customFormat="1" ht="15" x14ac:dyDescent="0.25">
      <c r="A84" s="305"/>
      <c r="B84" s="97"/>
      <c r="C84" s="97"/>
      <c r="D84" s="97"/>
      <c r="E84" s="97"/>
      <c r="F84" s="97"/>
      <c r="G84" s="97"/>
      <c r="H84" s="97"/>
      <c r="I84" s="98"/>
      <c r="J84" s="100"/>
      <c r="K84" s="97"/>
      <c r="L84" s="99"/>
      <c r="M84" s="99"/>
      <c r="N84"/>
      <c r="O84"/>
      <c r="P84"/>
      <c r="Q84"/>
      <c r="R84"/>
      <c r="S84"/>
      <c r="T84"/>
      <c r="U84"/>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row>
    <row r="85" spans="1:57" s="5" customFormat="1" ht="15" x14ac:dyDescent="0.25">
      <c r="A85" s="305"/>
      <c r="B85"/>
      <c r="C85"/>
      <c r="D85"/>
      <c r="E85"/>
      <c r="F85"/>
      <c r="G85"/>
      <c r="H85"/>
      <c r="I85"/>
      <c r="J85"/>
      <c r="K85"/>
      <c r="L85"/>
      <c r="M85"/>
      <c r="N85" s="69"/>
      <c r="O85" s="69"/>
      <c r="P85" s="69"/>
      <c r="Q85" s="69"/>
      <c r="R85" s="69"/>
      <c r="S85" s="69"/>
      <c r="T85" s="69"/>
      <c r="U85" s="69"/>
    </row>
    <row r="86" spans="1:57" s="5" customFormat="1" ht="15.6" x14ac:dyDescent="0.3">
      <c r="A86" s="305"/>
      <c r="B86" s="85" t="s">
        <v>252</v>
      </c>
      <c r="C86" s="51"/>
      <c r="D86" s="51"/>
      <c r="E86" s="51"/>
      <c r="F86" s="1075" t="s">
        <v>484</v>
      </c>
      <c r="G86" s="1075"/>
      <c r="H86" s="1076" t="s">
        <v>113</v>
      </c>
      <c r="I86" s="1076"/>
      <c r="J86" s="1075" t="s">
        <v>243</v>
      </c>
      <c r="K86" s="1075"/>
      <c r="L86" s="58"/>
      <c r="M86" s="58"/>
    </row>
    <row r="87" spans="1:57" x14ac:dyDescent="0.25">
      <c r="B87" s="51"/>
      <c r="C87" s="51"/>
      <c r="D87" s="51"/>
      <c r="E87" s="51"/>
      <c r="F87" s="53"/>
      <c r="G87" s="53"/>
      <c r="H87" s="52"/>
      <c r="I87" s="52"/>
      <c r="J87" s="52"/>
      <c r="K87" s="58"/>
      <c r="L87" s="58"/>
      <c r="M87" s="58"/>
      <c r="N87" s="5"/>
      <c r="O87" s="5"/>
      <c r="P87" s="5"/>
      <c r="Q87" s="5"/>
      <c r="R87" s="5"/>
      <c r="S87" s="5"/>
      <c r="T87" s="5"/>
      <c r="U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row>
    <row r="88" spans="1:57" ht="15.6" x14ac:dyDescent="0.3">
      <c r="B88" s="85"/>
      <c r="C88" s="51"/>
      <c r="D88" s="387" t="s">
        <v>253</v>
      </c>
      <c r="E88" s="51"/>
      <c r="F88" s="59"/>
      <c r="G88" s="59"/>
      <c r="H88" s="60"/>
      <c r="I88" s="60"/>
      <c r="J88" s="59"/>
      <c r="K88" s="59"/>
      <c r="L88" s="58"/>
      <c r="M88" s="58"/>
    </row>
    <row r="89" spans="1:57" ht="13.8" thickBot="1" x14ac:dyDescent="0.3">
      <c r="B89" s="171" t="s">
        <v>254</v>
      </c>
      <c r="C89" s="51"/>
      <c r="D89" s="51"/>
      <c r="E89" s="51"/>
      <c r="F89" s="53"/>
      <c r="G89" s="53"/>
      <c r="H89" s="52"/>
      <c r="I89" s="52"/>
      <c r="J89" s="58"/>
      <c r="K89" s="58"/>
      <c r="L89" s="58"/>
      <c r="M89" s="58"/>
    </row>
    <row r="90" spans="1:57" ht="13.8" thickBot="1" x14ac:dyDescent="0.3">
      <c r="B90" s="51"/>
      <c r="C90" s="51" t="s">
        <v>485</v>
      </c>
      <c r="D90" s="58"/>
      <c r="E90" s="51"/>
      <c r="F90" s="77">
        <v>2</v>
      </c>
      <c r="G90" s="53" t="s">
        <v>256</v>
      </c>
      <c r="H90" s="77">
        <v>26.8</v>
      </c>
      <c r="I90" s="52" t="s">
        <v>257</v>
      </c>
      <c r="J90" s="58">
        <f>F90*H90</f>
        <v>53.6</v>
      </c>
      <c r="K90" s="51" t="s">
        <v>57</v>
      </c>
      <c r="L90" s="58"/>
      <c r="M90" s="58"/>
    </row>
    <row r="91" spans="1:57" ht="13.8" thickBot="1" x14ac:dyDescent="0.3">
      <c r="B91" s="51"/>
      <c r="C91" s="51" t="s">
        <v>486</v>
      </c>
      <c r="D91" s="58"/>
      <c r="E91" s="51"/>
      <c r="F91" s="77">
        <v>1.7</v>
      </c>
      <c r="G91" s="53" t="s">
        <v>212</v>
      </c>
      <c r="H91" s="77">
        <v>50.57</v>
      </c>
      <c r="I91" s="52" t="s">
        <v>206</v>
      </c>
      <c r="J91" s="58">
        <f t="shared" ref="J91:J96" si="12">F91*H91</f>
        <v>85.968999999999994</v>
      </c>
      <c r="K91" s="51" t="s">
        <v>57</v>
      </c>
      <c r="L91" s="58"/>
      <c r="M91" s="58"/>
    </row>
    <row r="92" spans="1:57" ht="13.8" thickBot="1" x14ac:dyDescent="0.3">
      <c r="B92" s="51"/>
      <c r="C92" s="51" t="s">
        <v>487</v>
      </c>
      <c r="D92" s="58"/>
      <c r="E92" s="51"/>
      <c r="F92" s="77">
        <v>2</v>
      </c>
      <c r="G92" s="53" t="s">
        <v>256</v>
      </c>
      <c r="H92" s="77">
        <v>46.47</v>
      </c>
      <c r="I92" s="52" t="s">
        <v>257</v>
      </c>
      <c r="J92" s="58">
        <f t="shared" si="12"/>
        <v>92.94</v>
      </c>
      <c r="K92" s="51" t="s">
        <v>57</v>
      </c>
      <c r="L92" s="58"/>
      <c r="M92" s="58"/>
    </row>
    <row r="93" spans="1:57" ht="13.8" thickBot="1" x14ac:dyDescent="0.3">
      <c r="B93" s="51"/>
      <c r="C93" s="51" t="s">
        <v>488</v>
      </c>
      <c r="D93" s="58"/>
      <c r="E93" s="51"/>
      <c r="F93" s="77">
        <v>0.15</v>
      </c>
      <c r="G93" s="53" t="s">
        <v>256</v>
      </c>
      <c r="H93" s="77">
        <v>39.229999999999997</v>
      </c>
      <c r="I93" s="52" t="s">
        <v>257</v>
      </c>
      <c r="J93" s="463">
        <f t="shared" si="12"/>
        <v>5.8844999999999992</v>
      </c>
      <c r="K93" s="51" t="s">
        <v>57</v>
      </c>
      <c r="L93" s="58"/>
      <c r="M93" s="58"/>
    </row>
    <row r="94" spans="1:57" ht="13.8" thickBot="1" x14ac:dyDescent="0.3">
      <c r="B94" s="51"/>
      <c r="C94" s="51" t="s">
        <v>265</v>
      </c>
      <c r="D94" s="58"/>
      <c r="E94" s="51"/>
      <c r="F94" s="95"/>
      <c r="G94" s="53" t="s">
        <v>256</v>
      </c>
      <c r="H94" s="77"/>
      <c r="I94" s="52" t="s">
        <v>257</v>
      </c>
      <c r="J94" s="58">
        <f t="shared" si="12"/>
        <v>0</v>
      </c>
      <c r="K94" s="51" t="s">
        <v>57</v>
      </c>
      <c r="L94" s="58"/>
      <c r="M94" s="58"/>
    </row>
    <row r="95" spans="1:57" ht="13.8" thickBot="1" x14ac:dyDescent="0.3">
      <c r="B95" s="51"/>
      <c r="C95" s="51" t="s">
        <v>265</v>
      </c>
      <c r="D95" s="51"/>
      <c r="E95" s="51"/>
      <c r="F95" s="95"/>
      <c r="G95" s="53" t="s">
        <v>256</v>
      </c>
      <c r="H95" s="77"/>
      <c r="I95" s="52" t="s">
        <v>257</v>
      </c>
      <c r="J95" s="58">
        <f t="shared" si="12"/>
        <v>0</v>
      </c>
      <c r="K95" s="51" t="s">
        <v>57</v>
      </c>
      <c r="L95" s="58"/>
      <c r="M95" s="58"/>
    </row>
    <row r="96" spans="1:57" ht="13.8" thickBot="1" x14ac:dyDescent="0.3">
      <c r="B96" s="51"/>
      <c r="C96" s="51" t="s">
        <v>265</v>
      </c>
      <c r="D96" s="51"/>
      <c r="E96" s="51"/>
      <c r="F96" s="95"/>
      <c r="G96" s="53" t="s">
        <v>256</v>
      </c>
      <c r="H96" s="77"/>
      <c r="I96" s="52" t="s">
        <v>257</v>
      </c>
      <c r="J96" s="58">
        <f t="shared" si="12"/>
        <v>0</v>
      </c>
      <c r="K96" s="51" t="s">
        <v>57</v>
      </c>
      <c r="L96" s="58"/>
      <c r="M96" s="58"/>
    </row>
    <row r="97" spans="1:57" x14ac:dyDescent="0.25">
      <c r="B97" s="51"/>
      <c r="C97" s="51"/>
      <c r="D97" s="51"/>
      <c r="E97" s="51"/>
      <c r="F97" s="53"/>
      <c r="G97" s="53"/>
      <c r="H97" s="52"/>
      <c r="I97" s="52"/>
      <c r="J97" s="58"/>
      <c r="K97" s="51"/>
      <c r="L97" s="58"/>
      <c r="M97" s="58"/>
    </row>
    <row r="98" spans="1:57" ht="13.8" thickBot="1" x14ac:dyDescent="0.3">
      <c r="B98" s="171" t="s">
        <v>266</v>
      </c>
      <c r="C98" s="51"/>
      <c r="D98" s="51"/>
      <c r="E98" s="51"/>
      <c r="F98" s="53"/>
      <c r="G98" s="53"/>
      <c r="H98" s="52"/>
      <c r="I98" s="52"/>
      <c r="J98" s="58"/>
      <c r="K98" s="51"/>
      <c r="L98" s="58"/>
      <c r="M98" s="58"/>
    </row>
    <row r="99" spans="1:57" ht="13.8" thickBot="1" x14ac:dyDescent="0.3">
      <c r="B99" s="51"/>
      <c r="C99" s="51" t="s">
        <v>366</v>
      </c>
      <c r="D99" s="51"/>
      <c r="E99" s="51"/>
      <c r="F99" s="95"/>
      <c r="G99" s="53" t="s">
        <v>260</v>
      </c>
      <c r="H99" s="95"/>
      <c r="I99" s="52" t="s">
        <v>261</v>
      </c>
      <c r="J99" s="58">
        <f t="shared" ref="J99:J103" si="13">F99*H99</f>
        <v>0</v>
      </c>
      <c r="K99" s="51" t="s">
        <v>57</v>
      </c>
      <c r="L99" s="58"/>
      <c r="M99" s="58"/>
    </row>
    <row r="100" spans="1:57" ht="13.8" thickBot="1" x14ac:dyDescent="0.3">
      <c r="B100" s="51"/>
      <c r="C100" s="51" t="s">
        <v>267</v>
      </c>
      <c r="D100" s="51"/>
      <c r="E100" s="51"/>
      <c r="F100" s="95"/>
      <c r="G100" s="53" t="s">
        <v>256</v>
      </c>
      <c r="H100" s="95"/>
      <c r="I100" s="52" t="s">
        <v>257</v>
      </c>
      <c r="J100" s="58">
        <f t="shared" si="13"/>
        <v>0</v>
      </c>
      <c r="K100" s="51" t="s">
        <v>57</v>
      </c>
      <c r="L100" s="58"/>
      <c r="M100" s="58"/>
    </row>
    <row r="101" spans="1:57" ht="13.8" thickBot="1" x14ac:dyDescent="0.3">
      <c r="B101" s="51"/>
      <c r="C101" s="51" t="s">
        <v>267</v>
      </c>
      <c r="D101" s="51"/>
      <c r="E101" s="51"/>
      <c r="F101" s="95"/>
      <c r="G101" s="53" t="s">
        <v>256</v>
      </c>
      <c r="H101" s="95"/>
      <c r="I101" s="52" t="s">
        <v>257</v>
      </c>
      <c r="J101" s="58">
        <f t="shared" si="13"/>
        <v>0</v>
      </c>
      <c r="K101" s="51" t="s">
        <v>57</v>
      </c>
      <c r="L101" s="58"/>
      <c r="M101" s="58"/>
    </row>
    <row r="102" spans="1:57" ht="13.8" thickBot="1" x14ac:dyDescent="0.3">
      <c r="B102" s="51"/>
      <c r="C102" s="51" t="s">
        <v>267</v>
      </c>
      <c r="D102" s="51"/>
      <c r="E102" s="51"/>
      <c r="F102" s="95"/>
      <c r="G102" s="53" t="s">
        <v>256</v>
      </c>
      <c r="H102" s="95"/>
      <c r="I102" s="52" t="s">
        <v>257</v>
      </c>
      <c r="J102" s="58">
        <f t="shared" si="13"/>
        <v>0</v>
      </c>
      <c r="K102" s="51" t="s">
        <v>57</v>
      </c>
      <c r="L102" s="58"/>
      <c r="M102" s="58"/>
    </row>
    <row r="103" spans="1:57" ht="13.8" thickBot="1" x14ac:dyDescent="0.3">
      <c r="B103" s="51"/>
      <c r="C103" s="51" t="s">
        <v>267</v>
      </c>
      <c r="D103" s="51"/>
      <c r="E103" s="51"/>
      <c r="F103" s="95"/>
      <c r="G103" s="53" t="s">
        <v>256</v>
      </c>
      <c r="H103" s="95"/>
      <c r="I103" s="52" t="s">
        <v>257</v>
      </c>
      <c r="J103" s="58">
        <f t="shared" si="13"/>
        <v>0</v>
      </c>
      <c r="K103" s="51" t="s">
        <v>57</v>
      </c>
      <c r="L103" s="58"/>
      <c r="M103" s="58"/>
    </row>
    <row r="104" spans="1:57" s="5" customFormat="1" x14ac:dyDescent="0.25">
      <c r="A104" s="305"/>
      <c r="B104" s="195"/>
      <c r="C104" s="195" t="s">
        <v>54</v>
      </c>
      <c r="D104" s="195"/>
      <c r="E104" s="195"/>
      <c r="F104" s="196"/>
      <c r="G104" s="196"/>
      <c r="H104" s="196"/>
      <c r="I104" s="197"/>
      <c r="J104" s="197">
        <f>SUM(J90:J103)</f>
        <v>238.39349999999999</v>
      </c>
      <c r="K104" s="195" t="s">
        <v>57</v>
      </c>
      <c r="L104" s="195"/>
      <c r="M104" s="195"/>
      <c r="AE104"/>
      <c r="AF104"/>
      <c r="AG104"/>
      <c r="AH104"/>
      <c r="AI104"/>
      <c r="AJ104"/>
      <c r="AK104"/>
      <c r="AL104"/>
      <c r="AM104"/>
      <c r="AN104"/>
      <c r="AO104"/>
      <c r="AP104"/>
      <c r="AQ104"/>
      <c r="AR104"/>
      <c r="AS104"/>
      <c r="AT104"/>
      <c r="AU104"/>
      <c r="AV104"/>
      <c r="AW104"/>
      <c r="AX104"/>
      <c r="AY104"/>
      <c r="AZ104"/>
      <c r="BA104"/>
      <c r="BB104"/>
      <c r="BC104"/>
      <c r="BD104"/>
      <c r="BE104"/>
    </row>
    <row r="105" spans="1:57" x14ac:dyDescent="0.25">
      <c r="B105" s="51"/>
      <c r="C105" s="51"/>
      <c r="D105" s="51"/>
      <c r="E105" s="51"/>
      <c r="F105" s="53"/>
      <c r="G105" s="53"/>
      <c r="H105" s="52"/>
      <c r="I105" s="52"/>
      <c r="J105" s="58"/>
      <c r="K105" s="51"/>
      <c r="L105" s="58"/>
      <c r="M105" s="58"/>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row>
    <row r="106" spans="1:57" x14ac:dyDescent="0.25">
      <c r="A106" s="310"/>
    </row>
    <row r="107" spans="1:57" ht="15.6" x14ac:dyDescent="0.3">
      <c r="A107" s="310"/>
      <c r="B107" s="86" t="s">
        <v>489</v>
      </c>
      <c r="C107" s="61"/>
      <c r="D107" s="61"/>
      <c r="E107" s="61"/>
      <c r="F107" s="1071" t="s">
        <v>484</v>
      </c>
      <c r="G107" s="1071"/>
      <c r="H107" s="1071" t="s">
        <v>113</v>
      </c>
      <c r="I107" s="1071"/>
      <c r="J107" s="1071" t="s">
        <v>243</v>
      </c>
      <c r="K107" s="1071"/>
      <c r="L107" s="63"/>
      <c r="M107" s="63"/>
    </row>
    <row r="108" spans="1:57" ht="13.8" thickBot="1" x14ac:dyDescent="0.3">
      <c r="A108" s="310"/>
      <c r="B108" s="61"/>
      <c r="C108" s="61"/>
      <c r="D108" s="61"/>
      <c r="E108" s="61"/>
      <c r="F108" s="61"/>
      <c r="G108" s="61"/>
      <c r="H108" s="62"/>
      <c r="I108" s="62"/>
      <c r="J108" s="63"/>
      <c r="K108" s="63"/>
      <c r="L108" s="63"/>
      <c r="M108" s="63"/>
    </row>
    <row r="109" spans="1:57" ht="13.8" thickBot="1" x14ac:dyDescent="0.3">
      <c r="A109" s="310"/>
      <c r="B109" s="61"/>
      <c r="C109" s="61" t="s">
        <v>368</v>
      </c>
      <c r="D109" s="63"/>
      <c r="E109" s="61"/>
      <c r="F109" s="388">
        <f>S10*'Gårdens info'!$G$14/1</f>
        <v>0</v>
      </c>
      <c r="G109" s="61" t="s">
        <v>31</v>
      </c>
      <c r="H109" s="77">
        <v>0.01</v>
      </c>
      <c r="I109" s="62" t="s">
        <v>246</v>
      </c>
      <c r="J109" s="64">
        <f>F109*H109</f>
        <v>0</v>
      </c>
      <c r="K109" s="61" t="s">
        <v>57</v>
      </c>
      <c r="L109" s="63"/>
      <c r="M109" s="63"/>
    </row>
    <row r="110" spans="1:57" ht="13.8" thickBot="1" x14ac:dyDescent="0.3">
      <c r="A110" s="310"/>
      <c r="B110" s="61"/>
      <c r="C110" s="61" t="s">
        <v>369</v>
      </c>
      <c r="D110" s="63"/>
      <c r="E110" s="61"/>
      <c r="F110" s="388">
        <f>S11*'Gårdens info'!$G$14/1</f>
        <v>0</v>
      </c>
      <c r="G110" s="61" t="s">
        <v>31</v>
      </c>
      <c r="H110" s="77">
        <v>0.01</v>
      </c>
      <c r="I110" s="62" t="s">
        <v>246</v>
      </c>
      <c r="J110" s="64">
        <f t="shared" ref="J110:J116" si="14">F110*H110</f>
        <v>0</v>
      </c>
      <c r="K110" s="61" t="s">
        <v>57</v>
      </c>
      <c r="L110" s="63"/>
      <c r="M110" s="63"/>
    </row>
    <row r="111" spans="1:57" ht="13.8" thickBot="1" x14ac:dyDescent="0.3">
      <c r="A111" s="310"/>
      <c r="B111" s="61"/>
      <c r="C111" s="61" t="s">
        <v>270</v>
      </c>
      <c r="D111" s="63"/>
      <c r="E111" s="61"/>
      <c r="F111" s="388">
        <f>S12*'Gårdens info'!$G$14/1</f>
        <v>20000</v>
      </c>
      <c r="G111" s="61" t="s">
        <v>31</v>
      </c>
      <c r="H111" s="77">
        <v>0.01</v>
      </c>
      <c r="I111" s="62" t="s">
        <v>246</v>
      </c>
      <c r="J111" s="64">
        <f t="shared" si="14"/>
        <v>200</v>
      </c>
      <c r="K111" s="61" t="s">
        <v>57</v>
      </c>
      <c r="L111" s="63"/>
      <c r="M111" s="63"/>
    </row>
    <row r="112" spans="1:57" ht="13.8" thickBot="1" x14ac:dyDescent="0.3">
      <c r="A112" s="310"/>
      <c r="B112" s="61"/>
      <c r="C112" s="61" t="s">
        <v>271</v>
      </c>
      <c r="D112" s="63"/>
      <c r="E112" s="61"/>
      <c r="F112" s="388">
        <f>S13*'Gårdens info'!$G$14/1</f>
        <v>20000</v>
      </c>
      <c r="G112" s="61" t="s">
        <v>31</v>
      </c>
      <c r="H112" s="77">
        <v>0.05</v>
      </c>
      <c r="I112" s="62" t="s">
        <v>246</v>
      </c>
      <c r="J112" s="64">
        <f t="shared" si="14"/>
        <v>1000</v>
      </c>
      <c r="K112" s="61" t="s">
        <v>57</v>
      </c>
      <c r="L112" s="63"/>
      <c r="M112" s="63"/>
    </row>
    <row r="113" spans="1:57" ht="13.8" thickBot="1" x14ac:dyDescent="0.3">
      <c r="A113" s="310"/>
      <c r="B113" s="61"/>
      <c r="C113" s="77" t="s">
        <v>272</v>
      </c>
      <c r="D113" s="77"/>
      <c r="E113" s="61" t="s">
        <v>212</v>
      </c>
      <c r="F113" s="388">
        <f>IF(S14&gt;0,S14*'Gårdens info'!$G$14/D113,0)</f>
        <v>0</v>
      </c>
      <c r="G113" s="61" t="s">
        <v>31</v>
      </c>
      <c r="H113" s="77"/>
      <c r="I113" s="62" t="s">
        <v>246</v>
      </c>
      <c r="J113" s="64">
        <f t="shared" ref="J113:J114" si="15">F113*H113</f>
        <v>0</v>
      </c>
      <c r="K113" s="61" t="s">
        <v>57</v>
      </c>
      <c r="L113" s="63"/>
      <c r="M113" s="63"/>
    </row>
    <row r="114" spans="1:57" ht="13.8" thickBot="1" x14ac:dyDescent="0.3">
      <c r="A114" s="310"/>
      <c r="B114" s="61"/>
      <c r="C114" s="77" t="s">
        <v>272</v>
      </c>
      <c r="D114" s="77"/>
      <c r="E114" s="61" t="s">
        <v>212</v>
      </c>
      <c r="F114" s="388">
        <f>IF(S15&gt;0,S15*'Gårdens info'!$G$14/D114,0)</f>
        <v>0</v>
      </c>
      <c r="G114" s="61" t="s">
        <v>31</v>
      </c>
      <c r="H114" s="77"/>
      <c r="I114" s="62" t="s">
        <v>246</v>
      </c>
      <c r="J114" s="64">
        <f t="shared" si="15"/>
        <v>0</v>
      </c>
      <c r="K114" s="61" t="s">
        <v>57</v>
      </c>
      <c r="L114" s="63"/>
      <c r="M114" s="63"/>
    </row>
    <row r="115" spans="1:57" ht="13.8" thickBot="1" x14ac:dyDescent="0.3">
      <c r="A115" s="310"/>
      <c r="B115" s="61"/>
      <c r="C115" s="77" t="s">
        <v>272</v>
      </c>
      <c r="D115" s="77"/>
      <c r="E115" s="61" t="s">
        <v>212</v>
      </c>
      <c r="F115" s="388">
        <f>IF(S16&gt;0,S16*'Gårdens info'!$G$14/D115,0)</f>
        <v>0</v>
      </c>
      <c r="G115" s="61" t="s">
        <v>31</v>
      </c>
      <c r="H115" s="77"/>
      <c r="I115" s="62" t="s">
        <v>246</v>
      </c>
      <c r="J115" s="64">
        <f t="shared" si="14"/>
        <v>0</v>
      </c>
      <c r="K115" s="61" t="s">
        <v>57</v>
      </c>
      <c r="L115" s="63"/>
      <c r="M115" s="63"/>
    </row>
    <row r="116" spans="1:57" ht="13.8" thickBot="1" x14ac:dyDescent="0.3">
      <c r="A116" s="310"/>
      <c r="B116" s="61"/>
      <c r="C116" s="77" t="s">
        <v>272</v>
      </c>
      <c r="D116" s="77"/>
      <c r="E116" s="61" t="s">
        <v>212</v>
      </c>
      <c r="F116" s="388">
        <f>IF(S17&gt;0,S17*'Gårdens info'!$G$14/D116,0)</f>
        <v>0</v>
      </c>
      <c r="G116" s="61" t="s">
        <v>31</v>
      </c>
      <c r="H116" s="77"/>
      <c r="I116" s="62" t="s">
        <v>246</v>
      </c>
      <c r="J116" s="64">
        <f t="shared" si="14"/>
        <v>0</v>
      </c>
      <c r="K116" s="61" t="s">
        <v>57</v>
      </c>
      <c r="L116" s="63"/>
      <c r="M116" s="63"/>
    </row>
    <row r="117" spans="1:57" x14ac:dyDescent="0.25">
      <c r="A117" s="310"/>
      <c r="B117" s="198"/>
      <c r="C117" s="198" t="s">
        <v>54</v>
      </c>
      <c r="D117" s="198"/>
      <c r="E117" s="198"/>
      <c r="F117" s="198"/>
      <c r="G117" s="198"/>
      <c r="H117" s="199"/>
      <c r="I117" s="199"/>
      <c r="J117" s="200">
        <f>SUM(J109:J116)</f>
        <v>1200</v>
      </c>
      <c r="K117" s="198" t="s">
        <v>57</v>
      </c>
      <c r="L117" s="198"/>
      <c r="M117" s="198"/>
    </row>
    <row r="118" spans="1:57" x14ac:dyDescent="0.25">
      <c r="A118" s="310"/>
      <c r="B118" s="61"/>
      <c r="C118" s="61"/>
      <c r="D118" s="61"/>
      <c r="E118" s="61"/>
      <c r="F118" s="61"/>
      <c r="G118" s="61"/>
      <c r="H118" s="62"/>
      <c r="I118" s="62"/>
      <c r="J118" s="64"/>
      <c r="K118" s="61"/>
      <c r="L118" s="63"/>
      <c r="M118" s="63"/>
    </row>
    <row r="119" spans="1:57" x14ac:dyDescent="0.25">
      <c r="A119" s="310"/>
    </row>
    <row r="120" spans="1:57" s="5" customFormat="1" ht="15.6" x14ac:dyDescent="0.3">
      <c r="A120" s="311"/>
      <c r="B120" s="87" t="s">
        <v>273</v>
      </c>
      <c r="C120" s="65"/>
      <c r="D120" s="65"/>
      <c r="E120" s="65"/>
      <c r="F120" s="1072" t="s">
        <v>484</v>
      </c>
      <c r="G120" s="1072"/>
      <c r="H120" s="1072" t="s">
        <v>113</v>
      </c>
      <c r="I120" s="1072"/>
      <c r="J120" s="1072" t="s">
        <v>243</v>
      </c>
      <c r="K120" s="1072"/>
      <c r="L120" s="67"/>
      <c r="M120" s="67"/>
      <c r="N120"/>
      <c r="O120"/>
      <c r="P120"/>
      <c r="Q120"/>
      <c r="R120"/>
      <c r="S120"/>
      <c r="T120"/>
      <c r="U120"/>
      <c r="AE120"/>
      <c r="AF120"/>
      <c r="AG120"/>
      <c r="AH120"/>
      <c r="AI120"/>
      <c r="AJ120"/>
      <c r="AK120"/>
      <c r="AL120"/>
      <c r="AM120"/>
      <c r="AN120"/>
      <c r="AO120"/>
      <c r="AP120"/>
      <c r="AQ120"/>
      <c r="AR120"/>
      <c r="AS120"/>
      <c r="AT120"/>
      <c r="AU120"/>
      <c r="AV120"/>
      <c r="AW120"/>
      <c r="AX120"/>
      <c r="AY120"/>
      <c r="AZ120"/>
      <c r="BA120"/>
      <c r="BB120"/>
      <c r="BC120"/>
      <c r="BD120"/>
      <c r="BE120"/>
    </row>
    <row r="121" spans="1:57" ht="13.8" thickBot="1" x14ac:dyDescent="0.3">
      <c r="A121" s="310"/>
      <c r="B121" s="65"/>
      <c r="C121" s="65"/>
      <c r="D121" s="65"/>
      <c r="E121" s="65"/>
      <c r="F121" s="65"/>
      <c r="G121" s="65"/>
      <c r="H121" s="66"/>
      <c r="I121" s="66"/>
      <c r="J121" s="67"/>
      <c r="K121" s="67"/>
      <c r="L121" s="67"/>
      <c r="M121" s="67"/>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row>
    <row r="122" spans="1:57" ht="13.8" thickBot="1" x14ac:dyDescent="0.3">
      <c r="A122" s="310"/>
      <c r="B122" s="65"/>
      <c r="C122" s="65" t="s">
        <v>222</v>
      </c>
      <c r="D122" s="67"/>
      <c r="E122" s="65"/>
      <c r="F122" s="74">
        <f>'Gårdens info'!G14*'Gårdens info'!D14*0.8</f>
        <v>64000</v>
      </c>
      <c r="G122" s="65" t="s">
        <v>212</v>
      </c>
      <c r="H122" s="77">
        <v>0.02</v>
      </c>
      <c r="I122" s="66" t="s">
        <v>206</v>
      </c>
      <c r="J122" s="68">
        <f t="shared" ref="J122:J124" si="16">F122*H122</f>
        <v>1280</v>
      </c>
      <c r="K122" s="65" t="s">
        <v>57</v>
      </c>
      <c r="L122" s="67"/>
      <c r="M122" s="67"/>
      <c r="N122" s="5"/>
      <c r="O122" s="5"/>
      <c r="P122" s="5"/>
      <c r="Q122" s="5"/>
      <c r="R122" s="5"/>
      <c r="S122" s="5"/>
      <c r="T122" s="5"/>
      <c r="U122" s="5"/>
    </row>
    <row r="123" spans="1:57" ht="13.8" thickBot="1" x14ac:dyDescent="0.3">
      <c r="A123" s="310"/>
      <c r="B123" s="65"/>
      <c r="C123" s="65" t="s">
        <v>372</v>
      </c>
      <c r="D123" s="65"/>
      <c r="E123" s="65"/>
      <c r="F123" s="74"/>
      <c r="G123" s="65" t="s">
        <v>212</v>
      </c>
      <c r="H123" s="77"/>
      <c r="I123" s="66" t="s">
        <v>206</v>
      </c>
      <c r="J123" s="68">
        <f t="shared" si="16"/>
        <v>0</v>
      </c>
      <c r="K123" s="65" t="s">
        <v>57</v>
      </c>
      <c r="L123" s="67"/>
      <c r="M123" s="67"/>
    </row>
    <row r="124" spans="1:57" ht="13.8" thickBot="1" x14ac:dyDescent="0.3">
      <c r="A124" s="310"/>
      <c r="B124" s="65"/>
      <c r="C124" s="65" t="s">
        <v>372</v>
      </c>
      <c r="D124" s="65"/>
      <c r="E124" s="65"/>
      <c r="F124" s="74"/>
      <c r="G124" s="65" t="s">
        <v>212</v>
      </c>
      <c r="H124" s="77"/>
      <c r="I124" s="66" t="s">
        <v>206</v>
      </c>
      <c r="J124" s="68">
        <f t="shared" si="16"/>
        <v>0</v>
      </c>
      <c r="K124" s="65" t="s">
        <v>57</v>
      </c>
      <c r="L124" s="67"/>
      <c r="M124" s="67"/>
    </row>
    <row r="125" spans="1:57" x14ac:dyDescent="0.25">
      <c r="A125" s="310"/>
      <c r="B125" s="201"/>
      <c r="C125" s="201" t="s">
        <v>54</v>
      </c>
      <c r="D125" s="201"/>
      <c r="E125" s="201"/>
      <c r="F125" s="201"/>
      <c r="G125" s="201"/>
      <c r="H125" s="202"/>
      <c r="I125" s="202"/>
      <c r="J125" s="203">
        <f>SUM(J122:J124)</f>
        <v>1280</v>
      </c>
      <c r="K125" s="201" t="s">
        <v>57</v>
      </c>
      <c r="L125" s="201"/>
      <c r="M125" s="201"/>
    </row>
    <row r="126" spans="1:57" x14ac:dyDescent="0.25">
      <c r="A126" s="310"/>
      <c r="B126" s="65"/>
      <c r="C126" s="65"/>
      <c r="D126" s="65"/>
      <c r="E126" s="65"/>
      <c r="F126" s="65"/>
      <c r="G126" s="65"/>
      <c r="H126" s="66"/>
      <c r="I126" s="66"/>
      <c r="J126" s="68"/>
      <c r="K126" s="65"/>
      <c r="L126" s="67"/>
      <c r="M126" s="67"/>
    </row>
    <row r="127" spans="1:57" x14ac:dyDescent="0.25">
      <c r="A127" s="310"/>
    </row>
    <row r="128" spans="1:57" ht="15.6" x14ac:dyDescent="0.3">
      <c r="A128" s="310"/>
      <c r="B128" s="176" t="s">
        <v>275</v>
      </c>
      <c r="C128" s="177"/>
      <c r="D128" s="177"/>
      <c r="E128" s="177"/>
      <c r="F128" s="1067" t="s">
        <v>484</v>
      </c>
      <c r="G128" s="1067"/>
      <c r="H128" s="1067" t="s">
        <v>113</v>
      </c>
      <c r="I128" s="1067"/>
      <c r="J128" s="1067" t="s">
        <v>243</v>
      </c>
      <c r="K128" s="1067"/>
      <c r="L128" s="179"/>
      <c r="M128" s="179"/>
    </row>
    <row r="129" spans="1:57" ht="13.8" thickBot="1" x14ac:dyDescent="0.3">
      <c r="A129" s="310"/>
      <c r="B129" s="177"/>
      <c r="C129" s="177"/>
      <c r="D129" s="177"/>
      <c r="E129" s="177"/>
      <c r="F129" s="177"/>
      <c r="G129" s="177"/>
      <c r="H129" s="178"/>
      <c r="I129" s="178"/>
      <c r="J129" s="179"/>
      <c r="K129" s="179"/>
      <c r="L129" s="179"/>
      <c r="M129" s="179"/>
    </row>
    <row r="130" spans="1:57" ht="13.8" thickBot="1" x14ac:dyDescent="0.3">
      <c r="A130" s="310"/>
      <c r="B130" s="177"/>
      <c r="C130" s="177" t="s">
        <v>276</v>
      </c>
      <c r="D130" s="179"/>
      <c r="E130" s="177"/>
      <c r="F130" s="74"/>
      <c r="G130" s="177" t="s">
        <v>7</v>
      </c>
      <c r="H130" s="77"/>
      <c r="I130" s="178" t="s">
        <v>57</v>
      </c>
      <c r="J130" s="180">
        <f t="shared" ref="J130:J132" si="17">F130*H130</f>
        <v>0</v>
      </c>
      <c r="K130" s="177" t="s">
        <v>57</v>
      </c>
      <c r="L130" s="179"/>
      <c r="M130" s="179"/>
    </row>
    <row r="131" spans="1:57" ht="13.8" thickBot="1" x14ac:dyDescent="0.3">
      <c r="B131" s="177"/>
      <c r="C131" s="177" t="s">
        <v>276</v>
      </c>
      <c r="D131" s="177"/>
      <c r="E131" s="177"/>
      <c r="F131" s="74"/>
      <c r="G131" s="177" t="s">
        <v>7</v>
      </c>
      <c r="H131" s="77"/>
      <c r="I131" s="178" t="s">
        <v>57</v>
      </c>
      <c r="J131" s="180">
        <f t="shared" si="17"/>
        <v>0</v>
      </c>
      <c r="K131" s="177" t="s">
        <v>57</v>
      </c>
      <c r="L131" s="179"/>
      <c r="M131" s="179"/>
    </row>
    <row r="132" spans="1:57" ht="13.8" thickBot="1" x14ac:dyDescent="0.3">
      <c r="B132" s="177"/>
      <c r="C132" s="177" t="s">
        <v>276</v>
      </c>
      <c r="D132" s="177"/>
      <c r="E132" s="177"/>
      <c r="F132" s="74"/>
      <c r="G132" s="177" t="s">
        <v>7</v>
      </c>
      <c r="H132" s="77"/>
      <c r="I132" s="178" t="s">
        <v>57</v>
      </c>
      <c r="J132" s="180">
        <f t="shared" si="17"/>
        <v>0</v>
      </c>
      <c r="K132" s="177" t="s">
        <v>57</v>
      </c>
      <c r="L132" s="179"/>
      <c r="M132" s="179"/>
    </row>
    <row r="133" spans="1:57" s="5" customFormat="1" x14ac:dyDescent="0.25">
      <c r="A133" s="305"/>
      <c r="B133" s="204"/>
      <c r="C133" s="204" t="s">
        <v>54</v>
      </c>
      <c r="D133" s="204"/>
      <c r="E133" s="204"/>
      <c r="F133" s="204"/>
      <c r="G133" s="204"/>
      <c r="H133" s="205"/>
      <c r="I133" s="205"/>
      <c r="J133" s="206">
        <f>SUM(J130:J132)</f>
        <v>0</v>
      </c>
      <c r="K133" s="204" t="s">
        <v>57</v>
      </c>
      <c r="L133" s="204"/>
      <c r="M133" s="204"/>
      <c r="N133"/>
      <c r="O133"/>
      <c r="P133"/>
      <c r="Q133"/>
      <c r="R133"/>
      <c r="S133"/>
      <c r="T133"/>
      <c r="U133"/>
      <c r="AE133"/>
      <c r="AF133"/>
      <c r="AG133"/>
      <c r="AH133"/>
      <c r="AI133"/>
      <c r="AJ133"/>
      <c r="AK133"/>
      <c r="AL133"/>
      <c r="AM133"/>
      <c r="AN133"/>
      <c r="AO133"/>
      <c r="AP133"/>
      <c r="AQ133"/>
      <c r="AR133"/>
      <c r="AS133"/>
      <c r="AT133"/>
      <c r="AU133"/>
      <c r="AV133"/>
      <c r="AW133"/>
      <c r="AX133"/>
      <c r="AY133"/>
      <c r="AZ133"/>
      <c r="BA133"/>
      <c r="BB133"/>
      <c r="BC133"/>
      <c r="BD133"/>
      <c r="BE133"/>
    </row>
    <row r="134" spans="1:57" x14ac:dyDescent="0.25">
      <c r="B134" s="177"/>
      <c r="C134" s="177"/>
      <c r="D134" s="177"/>
      <c r="E134" s="177"/>
      <c r="F134" s="177"/>
      <c r="G134" s="177"/>
      <c r="H134" s="178"/>
      <c r="I134" s="178"/>
      <c r="J134" s="180"/>
      <c r="K134" s="177"/>
      <c r="L134" s="179"/>
      <c r="M134" s="179"/>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row>
    <row r="135" spans="1:57" ht="30" customHeight="1" x14ac:dyDescent="0.25">
      <c r="N135" s="5"/>
      <c r="O135" s="5"/>
      <c r="P135" s="5"/>
      <c r="Q135" s="5"/>
      <c r="R135" s="5"/>
      <c r="S135" s="5"/>
      <c r="T135" s="5"/>
      <c r="U135" s="5"/>
    </row>
    <row r="136" spans="1:57" ht="15.6" x14ac:dyDescent="0.3">
      <c r="B136" s="181" t="s">
        <v>490</v>
      </c>
      <c r="C136" s="182"/>
      <c r="D136" s="182"/>
      <c r="E136" s="183"/>
      <c r="F136" s="182" t="s">
        <v>484</v>
      </c>
      <c r="G136" s="184"/>
      <c r="H136" s="184" t="s">
        <v>113</v>
      </c>
      <c r="I136" s="182"/>
      <c r="J136" s="182" t="s">
        <v>243</v>
      </c>
      <c r="K136" s="185"/>
      <c r="L136" s="185"/>
      <c r="M136" s="185"/>
    </row>
    <row r="137" spans="1:57" ht="16.2" thickBot="1" x14ac:dyDescent="0.35">
      <c r="B137" s="181"/>
      <c r="C137" s="182"/>
      <c r="D137" s="182"/>
      <c r="E137" s="183"/>
      <c r="F137" s="182"/>
      <c r="G137" s="184"/>
      <c r="H137" s="184"/>
      <c r="I137" s="182"/>
      <c r="J137" s="182"/>
      <c r="K137" s="185"/>
      <c r="L137" s="185"/>
      <c r="M137" s="185"/>
    </row>
    <row r="138" spans="1:57" ht="13.8" thickBot="1" x14ac:dyDescent="0.3">
      <c r="B138" s="182"/>
      <c r="C138" s="182" t="s">
        <v>278</v>
      </c>
      <c r="D138" s="185"/>
      <c r="E138" s="186"/>
      <c r="F138" s="74">
        <v>10500</v>
      </c>
      <c r="G138" s="187" t="s">
        <v>279</v>
      </c>
      <c r="H138" s="74">
        <v>0.15</v>
      </c>
      <c r="I138" s="188" t="s">
        <v>280</v>
      </c>
      <c r="J138" s="185">
        <f>H138*F138</f>
        <v>1575</v>
      </c>
      <c r="K138" s="188" t="s">
        <v>57</v>
      </c>
      <c r="L138" s="185"/>
      <c r="M138" s="185"/>
    </row>
    <row r="139" spans="1:57" ht="13.8" thickBot="1" x14ac:dyDescent="0.3">
      <c r="B139" s="182"/>
      <c r="C139" s="182" t="s">
        <v>281</v>
      </c>
      <c r="D139" s="188">
        <f>F181/2</f>
        <v>107</v>
      </c>
      <c r="E139" s="182" t="s">
        <v>282</v>
      </c>
      <c r="F139" s="74">
        <f>+D139*8</f>
        <v>856</v>
      </c>
      <c r="G139" s="184" t="s">
        <v>256</v>
      </c>
      <c r="H139" s="74">
        <v>0.83</v>
      </c>
      <c r="I139" s="188" t="s">
        <v>257</v>
      </c>
      <c r="J139" s="185">
        <f>H139*F139</f>
        <v>710.48</v>
      </c>
      <c r="K139" s="188" t="s">
        <v>57</v>
      </c>
      <c r="L139" s="185"/>
      <c r="M139" s="185"/>
    </row>
    <row r="140" spans="1:57" ht="13.8" thickBot="1" x14ac:dyDescent="0.3">
      <c r="B140" s="182"/>
      <c r="C140" s="182" t="s">
        <v>283</v>
      </c>
      <c r="D140" s="188">
        <f>D139</f>
        <v>107</v>
      </c>
      <c r="E140" s="182" t="s">
        <v>282</v>
      </c>
      <c r="F140" s="74">
        <v>11.88</v>
      </c>
      <c r="G140" s="184" t="s">
        <v>212</v>
      </c>
      <c r="H140" s="74">
        <v>4</v>
      </c>
      <c r="I140" s="188" t="s">
        <v>206</v>
      </c>
      <c r="J140" s="185">
        <f t="shared" ref="J140:J144" si="18">H140*F140</f>
        <v>47.52</v>
      </c>
      <c r="K140" s="188" t="s">
        <v>57</v>
      </c>
      <c r="L140" s="185"/>
      <c r="M140" s="185"/>
    </row>
    <row r="141" spans="1:57" ht="13.8" thickBot="1" x14ac:dyDescent="0.3">
      <c r="B141" s="182"/>
      <c r="C141" s="182" t="s">
        <v>284</v>
      </c>
      <c r="D141" s="185"/>
      <c r="E141" s="188"/>
      <c r="F141" s="74">
        <v>200</v>
      </c>
      <c r="G141" s="184" t="s">
        <v>256</v>
      </c>
      <c r="H141" s="74">
        <v>1.53</v>
      </c>
      <c r="I141" s="188" t="s">
        <v>257</v>
      </c>
      <c r="J141" s="185">
        <f t="shared" si="18"/>
        <v>306</v>
      </c>
      <c r="K141" s="188" t="s">
        <v>57</v>
      </c>
      <c r="L141" s="185"/>
      <c r="M141" s="185"/>
    </row>
    <row r="142" spans="1:57" ht="13.8" thickBot="1" x14ac:dyDescent="0.3">
      <c r="B142" s="182"/>
      <c r="C142" s="182" t="s">
        <v>285</v>
      </c>
      <c r="D142" s="185"/>
      <c r="E142" s="188"/>
      <c r="F142" s="74"/>
      <c r="G142" s="184" t="s">
        <v>256</v>
      </c>
      <c r="H142" s="74"/>
      <c r="I142" s="188" t="s">
        <v>257</v>
      </c>
      <c r="J142" s="185">
        <f t="shared" si="18"/>
        <v>0</v>
      </c>
      <c r="K142" s="188" t="s">
        <v>57</v>
      </c>
      <c r="L142" s="185"/>
      <c r="M142" s="185"/>
    </row>
    <row r="143" spans="1:57" ht="13.8" thickBot="1" x14ac:dyDescent="0.3">
      <c r="B143" s="182"/>
      <c r="C143" s="182" t="s">
        <v>286</v>
      </c>
      <c r="D143" s="185"/>
      <c r="E143" s="188"/>
      <c r="F143" s="74"/>
      <c r="G143" s="184"/>
      <c r="H143" s="74"/>
      <c r="I143" s="188"/>
      <c r="J143" s="185">
        <f t="shared" si="18"/>
        <v>0</v>
      </c>
      <c r="K143" s="188" t="s">
        <v>57</v>
      </c>
      <c r="L143" s="185"/>
      <c r="M143" s="185"/>
    </row>
    <row r="144" spans="1:57" ht="13.8" thickBot="1" x14ac:dyDescent="0.3">
      <c r="B144" s="185"/>
      <c r="C144" s="182" t="s">
        <v>286</v>
      </c>
      <c r="D144" s="185"/>
      <c r="E144" s="185"/>
      <c r="F144" s="74"/>
      <c r="G144" s="185"/>
      <c r="H144" s="74"/>
      <c r="I144" s="185"/>
      <c r="J144" s="185">
        <f t="shared" si="18"/>
        <v>0</v>
      </c>
      <c r="K144" s="188" t="s">
        <v>57</v>
      </c>
      <c r="L144" s="185"/>
      <c r="M144" s="185"/>
    </row>
    <row r="145" spans="1:57" s="5" customFormat="1" x14ac:dyDescent="0.25">
      <c r="A145" s="305"/>
      <c r="B145" s="207"/>
      <c r="C145" s="207" t="s">
        <v>54</v>
      </c>
      <c r="D145" s="207"/>
      <c r="E145" s="207"/>
      <c r="F145" s="207"/>
      <c r="G145" s="207"/>
      <c r="H145" s="207"/>
      <c r="I145" s="207"/>
      <c r="J145" s="207">
        <f>SUM(J138:J144)</f>
        <v>2639</v>
      </c>
      <c r="K145" s="208" t="s">
        <v>57</v>
      </c>
      <c r="L145" s="207"/>
      <c r="M145" s="207"/>
      <c r="AE145"/>
      <c r="AF145"/>
      <c r="AG145"/>
      <c r="AH145"/>
      <c r="AI145"/>
      <c r="AJ145"/>
      <c r="AK145"/>
      <c r="AL145"/>
      <c r="AM145"/>
      <c r="AN145"/>
      <c r="AO145"/>
      <c r="AP145"/>
      <c r="AQ145"/>
      <c r="AR145"/>
      <c r="AS145"/>
      <c r="AT145"/>
      <c r="AU145"/>
      <c r="AV145"/>
      <c r="AW145"/>
      <c r="AX145"/>
      <c r="AY145"/>
      <c r="AZ145"/>
      <c r="BA145"/>
      <c r="BB145"/>
      <c r="BC145"/>
      <c r="BD145"/>
      <c r="BE145"/>
    </row>
    <row r="146" spans="1:57" x14ac:dyDescent="0.25">
      <c r="B146" s="185"/>
      <c r="C146" s="185"/>
      <c r="D146" s="185"/>
      <c r="E146" s="185"/>
      <c r="F146" s="185"/>
      <c r="G146" s="185"/>
      <c r="H146" s="185"/>
      <c r="I146" s="185"/>
      <c r="J146" s="185"/>
      <c r="K146" s="185"/>
      <c r="L146" s="185"/>
      <c r="M146" s="18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row>
    <row r="148" spans="1:57" ht="15.6" x14ac:dyDescent="0.3">
      <c r="B148" s="88" t="s">
        <v>287</v>
      </c>
      <c r="C148" s="79"/>
      <c r="D148" s="79"/>
      <c r="E148" s="79"/>
      <c r="F148" s="79"/>
      <c r="G148" s="79"/>
      <c r="H148" s="79"/>
      <c r="I148" s="79"/>
      <c r="J148" s="79"/>
      <c r="K148" s="79"/>
      <c r="L148" s="79"/>
      <c r="M148" s="79"/>
    </row>
    <row r="149" spans="1:57" ht="15.6" x14ac:dyDescent="0.3">
      <c r="B149" s="88"/>
      <c r="C149" s="79"/>
      <c r="D149" s="79"/>
      <c r="E149" s="79"/>
      <c r="F149" s="79"/>
      <c r="G149" s="79"/>
      <c r="H149" s="79"/>
      <c r="I149" s="79"/>
      <c r="J149" s="79"/>
      <c r="K149" s="79"/>
      <c r="L149" s="79"/>
      <c r="M149" s="79"/>
    </row>
    <row r="150" spans="1:57" ht="76.2" customHeight="1" x14ac:dyDescent="0.25">
      <c r="B150" s="1096" t="s">
        <v>373</v>
      </c>
      <c r="C150" s="1096"/>
      <c r="D150" s="1096"/>
      <c r="E150" s="1096"/>
      <c r="F150" s="1096"/>
      <c r="G150" s="1096"/>
      <c r="H150" s="1096"/>
      <c r="I150" s="1096"/>
      <c r="J150" s="1096"/>
      <c r="K150" s="1096"/>
      <c r="L150" s="1096"/>
      <c r="M150" s="1096"/>
    </row>
    <row r="151" spans="1:57" ht="17.399999999999999" x14ac:dyDescent="0.3">
      <c r="B151" s="1105" t="s">
        <v>374</v>
      </c>
      <c r="C151" s="1106"/>
      <c r="D151" s="1106"/>
      <c r="E151" s="1106"/>
      <c r="F151" s="1106"/>
      <c r="G151" s="83"/>
      <c r="H151" s="84"/>
      <c r="I151" s="84"/>
      <c r="J151" s="83"/>
      <c r="K151" s="83"/>
      <c r="L151" s="84"/>
      <c r="M151" s="84"/>
    </row>
    <row r="152" spans="1:57" s="5" customFormat="1" ht="15.6" x14ac:dyDescent="0.3">
      <c r="A152" s="305"/>
      <c r="B152" s="88"/>
      <c r="C152" s="79"/>
      <c r="D152" s="79"/>
      <c r="E152" s="83"/>
      <c r="F152" s="83"/>
      <c r="G152" s="83"/>
      <c r="H152" s="84"/>
      <c r="I152" s="84"/>
      <c r="J152" s="83"/>
      <c r="K152" s="83"/>
      <c r="L152" s="84"/>
      <c r="M152" s="84"/>
      <c r="N152"/>
      <c r="O152"/>
      <c r="P152"/>
      <c r="Q152"/>
      <c r="R152"/>
      <c r="S152"/>
      <c r="T152"/>
      <c r="U152"/>
    </row>
    <row r="153" spans="1:57" ht="15.6" x14ac:dyDescent="0.3">
      <c r="B153" s="88"/>
      <c r="C153" s="79"/>
      <c r="D153" s="79"/>
      <c r="E153" s="1069" t="s">
        <v>290</v>
      </c>
      <c r="F153" s="1069"/>
      <c r="G153" s="1069"/>
      <c r="H153" s="1070" t="s">
        <v>113</v>
      </c>
      <c r="I153" s="1070"/>
      <c r="J153" s="1069" t="s">
        <v>291</v>
      </c>
      <c r="K153" s="1069"/>
      <c r="L153" s="1070" t="s">
        <v>113</v>
      </c>
      <c r="M153" s="1070"/>
    </row>
    <row r="154" spans="1:57" ht="33" customHeight="1" thickBot="1" x14ac:dyDescent="0.3">
      <c r="B154" s="78"/>
      <c r="C154" s="79"/>
      <c r="D154" s="79"/>
      <c r="E154" s="79"/>
      <c r="F154" s="79"/>
      <c r="G154" s="79"/>
      <c r="H154" s="79"/>
      <c r="I154" s="79"/>
      <c r="J154" s="79"/>
      <c r="K154" s="79"/>
      <c r="L154" s="79"/>
      <c r="M154" s="79"/>
      <c r="N154" s="5"/>
      <c r="O154" s="5"/>
      <c r="P154" s="5"/>
      <c r="Q154" s="5"/>
      <c r="R154" s="5"/>
      <c r="S154" s="5"/>
      <c r="T154" s="5"/>
      <c r="U154" s="5"/>
    </row>
    <row r="155" spans="1:57" ht="13.8" thickBot="1" x14ac:dyDescent="0.3">
      <c r="B155" s="79"/>
      <c r="C155" s="80" t="str">
        <f>AE6</f>
        <v>Odlingsplanering, dokumentation och kvalitetssystem</v>
      </c>
      <c r="D155" s="79"/>
      <c r="E155" s="79"/>
      <c r="F155" s="824">
        <f>BD6</f>
        <v>11</v>
      </c>
      <c r="G155" s="82" t="s">
        <v>293</v>
      </c>
      <c r="H155" s="93">
        <v>14.5</v>
      </c>
      <c r="I155" s="82" t="s">
        <v>294</v>
      </c>
      <c r="J155" s="79"/>
      <c r="K155" s="82" t="s">
        <v>293</v>
      </c>
      <c r="L155" s="93">
        <v>14.5</v>
      </c>
      <c r="M155" s="82" t="s">
        <v>294</v>
      </c>
    </row>
    <row r="156" spans="1:57" x14ac:dyDescent="0.25">
      <c r="B156" s="79"/>
      <c r="C156" s="80" t="str">
        <f t="shared" ref="C156:C180" si="19">AE7</f>
        <v>Produktionsavtal</v>
      </c>
      <c r="D156" s="79"/>
      <c r="E156" s="79"/>
      <c r="F156" s="824">
        <f t="shared" ref="F156:F177" si="20">BD7</f>
        <v>1</v>
      </c>
      <c r="G156" s="82" t="s">
        <v>293</v>
      </c>
      <c r="H156" s="90">
        <f>$H$155</f>
        <v>14.5</v>
      </c>
      <c r="I156" s="82" t="s">
        <v>294</v>
      </c>
      <c r="J156" s="79"/>
      <c r="K156" s="82" t="s">
        <v>293</v>
      </c>
      <c r="L156" s="90">
        <f>$L$155</f>
        <v>14.5</v>
      </c>
      <c r="M156" s="82" t="s">
        <v>294</v>
      </c>
    </row>
    <row r="157" spans="1:57" x14ac:dyDescent="0.25">
      <c r="B157" s="79"/>
      <c r="C157" s="80" t="str">
        <f t="shared" si="19"/>
        <v>Jordbearbetning</v>
      </c>
      <c r="D157" s="79"/>
      <c r="E157" s="79"/>
      <c r="F157" s="824">
        <f t="shared" si="20"/>
        <v>3</v>
      </c>
      <c r="G157" s="82" t="s">
        <v>293</v>
      </c>
      <c r="H157" s="90">
        <f t="shared" ref="H157:H180" si="21">$H$155</f>
        <v>14.5</v>
      </c>
      <c r="I157" s="82" t="s">
        <v>294</v>
      </c>
      <c r="J157" s="79"/>
      <c r="K157" s="82" t="s">
        <v>293</v>
      </c>
      <c r="L157" s="90">
        <f t="shared" ref="L157:L170" si="22">$L$155</f>
        <v>14.5</v>
      </c>
      <c r="M157" s="82" t="s">
        <v>294</v>
      </c>
    </row>
    <row r="158" spans="1:57" x14ac:dyDescent="0.25">
      <c r="B158" s="79"/>
      <c r="C158" s="80" t="str">
        <f t="shared" si="19"/>
        <v xml:space="preserve">Plantering av sättlöken </v>
      </c>
      <c r="D158" s="79"/>
      <c r="E158" s="79"/>
      <c r="F158" s="824">
        <f t="shared" si="20"/>
        <v>4</v>
      </c>
      <c r="G158" s="82" t="s">
        <v>293</v>
      </c>
      <c r="H158" s="90">
        <f t="shared" si="21"/>
        <v>14.5</v>
      </c>
      <c r="I158" s="82" t="s">
        <v>294</v>
      </c>
      <c r="J158" s="79"/>
      <c r="K158" s="82" t="s">
        <v>293</v>
      </c>
      <c r="L158" s="90">
        <f t="shared" si="22"/>
        <v>14.5</v>
      </c>
      <c r="M158" s="82" t="s">
        <v>294</v>
      </c>
    </row>
    <row r="159" spans="1:57" x14ac:dyDescent="0.25">
      <c r="B159" s="79"/>
      <c r="C159" s="80" t="str">
        <f>AE10</f>
        <v>Gödsel</v>
      </c>
      <c r="D159" s="79"/>
      <c r="E159" s="79"/>
      <c r="F159" s="824">
        <f t="shared" si="20"/>
        <v>2</v>
      </c>
      <c r="G159" s="82" t="s">
        <v>293</v>
      </c>
      <c r="H159" s="90">
        <f t="shared" si="21"/>
        <v>14.5</v>
      </c>
      <c r="I159" s="82" t="s">
        <v>294</v>
      </c>
      <c r="J159" s="79"/>
      <c r="K159" s="82" t="s">
        <v>293</v>
      </c>
      <c r="L159" s="90">
        <f t="shared" si="22"/>
        <v>14.5</v>
      </c>
      <c r="M159" s="82" t="s">
        <v>294</v>
      </c>
    </row>
    <row r="160" spans="1:57" x14ac:dyDescent="0.25">
      <c r="B160" s="79"/>
      <c r="C160" s="80" t="str">
        <f t="shared" si="19"/>
        <v>Installation av bevattningsutrustning</v>
      </c>
      <c r="D160" s="79"/>
      <c r="E160" s="79"/>
      <c r="F160" s="824">
        <f t="shared" si="20"/>
        <v>4</v>
      </c>
      <c r="G160" s="82" t="s">
        <v>293</v>
      </c>
      <c r="H160" s="90">
        <f t="shared" si="21"/>
        <v>14.5</v>
      </c>
      <c r="I160" s="82" t="s">
        <v>294</v>
      </c>
      <c r="J160" s="79"/>
      <c r="K160" s="82" t="s">
        <v>293</v>
      </c>
      <c r="L160" s="90">
        <f t="shared" si="22"/>
        <v>14.5</v>
      </c>
      <c r="M160" s="82" t="s">
        <v>294</v>
      </c>
    </row>
    <row r="161" spans="1:57" s="5" customFormat="1" x14ac:dyDescent="0.25">
      <c r="A161" s="305"/>
      <c r="B161" s="79"/>
      <c r="C161" s="80" t="str">
        <f t="shared" si="19"/>
        <v>Bevattning</v>
      </c>
      <c r="D161" s="79"/>
      <c r="E161" s="79"/>
      <c r="F161" s="824">
        <f t="shared" si="20"/>
        <v>18</v>
      </c>
      <c r="G161" s="82" t="s">
        <v>293</v>
      </c>
      <c r="H161" s="90">
        <f t="shared" si="21"/>
        <v>14.5</v>
      </c>
      <c r="I161" s="82" t="s">
        <v>294</v>
      </c>
      <c r="J161" s="79"/>
      <c r="K161" s="82" t="s">
        <v>293</v>
      </c>
      <c r="L161" s="90">
        <f t="shared" si="22"/>
        <v>14.5</v>
      </c>
      <c r="M161" s="82" t="s">
        <v>294</v>
      </c>
      <c r="N161"/>
      <c r="O161"/>
      <c r="P161"/>
      <c r="Q161"/>
      <c r="R161"/>
      <c r="S161"/>
      <c r="T161"/>
      <c r="U161"/>
      <c r="AE161"/>
      <c r="AF161"/>
      <c r="AG161"/>
      <c r="AH161"/>
      <c r="AI161"/>
      <c r="AJ161"/>
      <c r="AK161"/>
      <c r="AL161"/>
      <c r="AM161"/>
      <c r="AN161"/>
      <c r="AO161"/>
      <c r="AP161"/>
      <c r="AQ161"/>
      <c r="AR161"/>
      <c r="AS161"/>
      <c r="AT161"/>
      <c r="AU161"/>
      <c r="AV161"/>
      <c r="AW161"/>
      <c r="AX161"/>
      <c r="AY161"/>
      <c r="AZ161"/>
      <c r="BA161"/>
      <c r="BB161"/>
      <c r="BC161"/>
      <c r="BD161"/>
      <c r="BE161"/>
    </row>
    <row r="162" spans="1:57" x14ac:dyDescent="0.25">
      <c r="B162" s="79"/>
      <c r="C162" s="80" t="str">
        <f t="shared" si="19"/>
        <v>Höstunderhåll av bevattningsutrustning</v>
      </c>
      <c r="D162" s="79"/>
      <c r="E162" s="79"/>
      <c r="F162" s="824">
        <f t="shared" si="20"/>
        <v>4</v>
      </c>
      <c r="G162" s="82" t="s">
        <v>293</v>
      </c>
      <c r="H162" s="90">
        <f t="shared" si="21"/>
        <v>14.5</v>
      </c>
      <c r="I162" s="82" t="s">
        <v>294</v>
      </c>
      <c r="J162" s="79"/>
      <c r="K162" s="82" t="s">
        <v>293</v>
      </c>
      <c r="L162" s="90">
        <f t="shared" si="22"/>
        <v>14.5</v>
      </c>
      <c r="M162" s="82" t="s">
        <v>294</v>
      </c>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row>
    <row r="163" spans="1:57" x14ac:dyDescent="0.25">
      <c r="B163" s="79"/>
      <c r="C163" s="80" t="str">
        <f t="shared" si="19"/>
        <v>Växtskydd, ogräs</v>
      </c>
      <c r="D163" s="79"/>
      <c r="E163" s="79"/>
      <c r="F163" s="824">
        <f t="shared" si="20"/>
        <v>6</v>
      </c>
      <c r="G163" s="82" t="s">
        <v>293</v>
      </c>
      <c r="H163" s="90">
        <f t="shared" si="21"/>
        <v>14.5</v>
      </c>
      <c r="I163" s="82" t="s">
        <v>294</v>
      </c>
      <c r="J163" s="79"/>
      <c r="K163" s="82" t="s">
        <v>293</v>
      </c>
      <c r="L163" s="90">
        <f t="shared" si="22"/>
        <v>14.5</v>
      </c>
      <c r="M163" s="82" t="s">
        <v>294</v>
      </c>
    </row>
    <row r="164" spans="1:57" x14ac:dyDescent="0.25">
      <c r="B164" s="79"/>
      <c r="C164" s="80" t="str">
        <f t="shared" si="19"/>
        <v>Växtskydd, sjukdomar</v>
      </c>
      <c r="D164" s="79"/>
      <c r="E164" s="79"/>
      <c r="F164" s="824">
        <f t="shared" si="20"/>
        <v>4</v>
      </c>
      <c r="G164" s="82" t="s">
        <v>293</v>
      </c>
      <c r="H164" s="90">
        <f t="shared" si="21"/>
        <v>14.5</v>
      </c>
      <c r="I164" s="82" t="s">
        <v>294</v>
      </c>
      <c r="J164" s="79"/>
      <c r="K164" s="82" t="s">
        <v>293</v>
      </c>
      <c r="L164" s="90">
        <f t="shared" si="22"/>
        <v>14.5</v>
      </c>
      <c r="M164" s="82" t="s">
        <v>294</v>
      </c>
    </row>
    <row r="165" spans="1:57" x14ac:dyDescent="0.25">
      <c r="B165" s="79"/>
      <c r="C165" s="80" t="str">
        <f t="shared" si="19"/>
        <v>Växtskydd, skadedjur</v>
      </c>
      <c r="D165" s="79"/>
      <c r="E165" s="79"/>
      <c r="F165" s="824">
        <f t="shared" si="20"/>
        <v>4</v>
      </c>
      <c r="G165" s="82" t="s">
        <v>293</v>
      </c>
      <c r="H165" s="90">
        <f t="shared" si="21"/>
        <v>14.5</v>
      </c>
      <c r="I165" s="82" t="s">
        <v>294</v>
      </c>
      <c r="J165" s="79"/>
      <c r="K165" s="82" t="s">
        <v>293</v>
      </c>
      <c r="L165" s="90">
        <f t="shared" si="22"/>
        <v>14.5</v>
      </c>
      <c r="M165" s="82" t="s">
        <v>294</v>
      </c>
    </row>
    <row r="166" spans="1:57" x14ac:dyDescent="0.25">
      <c r="B166" s="79"/>
      <c r="C166" s="80" t="str">
        <f t="shared" si="19"/>
        <v>Radrensning</v>
      </c>
      <c r="D166" s="79"/>
      <c r="E166" s="79"/>
      <c r="F166" s="824">
        <f>BD17/2</f>
        <v>20</v>
      </c>
      <c r="G166" s="82" t="s">
        <v>293</v>
      </c>
      <c r="H166" s="90">
        <f t="shared" si="21"/>
        <v>14.5</v>
      </c>
      <c r="I166" s="82" t="s">
        <v>294</v>
      </c>
      <c r="J166" s="824">
        <f>BD17/2</f>
        <v>20</v>
      </c>
      <c r="K166" s="82" t="s">
        <v>293</v>
      </c>
      <c r="L166" s="90">
        <f t="shared" si="22"/>
        <v>14.5</v>
      </c>
      <c r="M166" s="82" t="s">
        <v>294</v>
      </c>
    </row>
    <row r="167" spans="1:57" x14ac:dyDescent="0.25">
      <c r="B167" s="79"/>
      <c r="C167" s="80" t="str">
        <f t="shared" si="19"/>
        <v>Rengöring av lager och andra utrymmen</v>
      </c>
      <c r="D167" s="79"/>
      <c r="E167" s="79"/>
      <c r="F167" s="824">
        <f t="shared" si="20"/>
        <v>9</v>
      </c>
      <c r="G167" s="82" t="s">
        <v>293</v>
      </c>
      <c r="H167" s="90">
        <f t="shared" si="21"/>
        <v>14.5</v>
      </c>
      <c r="I167" s="82" t="s">
        <v>294</v>
      </c>
      <c r="J167" s="79"/>
      <c r="K167" s="82" t="s">
        <v>293</v>
      </c>
      <c r="L167" s="90">
        <f t="shared" si="22"/>
        <v>14.5</v>
      </c>
      <c r="M167" s="82" t="s">
        <v>294</v>
      </c>
    </row>
    <row r="168" spans="1:57" x14ac:dyDescent="0.25">
      <c r="B168" s="79"/>
      <c r="C168" s="80" t="str">
        <f t="shared" si="19"/>
        <v>Skörd</v>
      </c>
      <c r="D168" s="79"/>
      <c r="E168" s="79"/>
      <c r="F168" s="824">
        <f>BD19/2</f>
        <v>10</v>
      </c>
      <c r="G168" s="82" t="s">
        <v>293</v>
      </c>
      <c r="H168" s="90">
        <f t="shared" si="21"/>
        <v>14.5</v>
      </c>
      <c r="I168" s="82" t="s">
        <v>294</v>
      </c>
      <c r="J168" s="824">
        <f>BD19/2</f>
        <v>10</v>
      </c>
      <c r="K168" s="82" t="s">
        <v>293</v>
      </c>
      <c r="L168" s="90">
        <f t="shared" si="22"/>
        <v>14.5</v>
      </c>
      <c r="M168" s="82" t="s">
        <v>294</v>
      </c>
    </row>
    <row r="169" spans="1:57" x14ac:dyDescent="0.25">
      <c r="B169" s="79"/>
      <c r="C169" s="80" t="str">
        <f t="shared" si="19"/>
        <v>Hantering och transport av skörd från åker til lager</v>
      </c>
      <c r="D169" s="79"/>
      <c r="E169" s="79"/>
      <c r="F169" s="824">
        <f t="shared" si="20"/>
        <v>10</v>
      </c>
      <c r="G169" s="82" t="s">
        <v>293</v>
      </c>
      <c r="H169" s="90">
        <f t="shared" si="21"/>
        <v>14.5</v>
      </c>
      <c r="I169" s="82" t="s">
        <v>294</v>
      </c>
      <c r="J169" s="79"/>
      <c r="K169" s="82" t="s">
        <v>293</v>
      </c>
      <c r="L169" s="90">
        <f t="shared" si="22"/>
        <v>14.5</v>
      </c>
      <c r="M169" s="82" t="s">
        <v>294</v>
      </c>
    </row>
    <row r="170" spans="1:57" x14ac:dyDescent="0.25">
      <c r="B170" s="79"/>
      <c r="C170" s="80" t="str">
        <f t="shared" si="19"/>
        <v>Iordningställande och förpackning för försäljning</v>
      </c>
      <c r="D170" s="79"/>
      <c r="E170" s="79"/>
      <c r="F170" s="824">
        <f t="shared" si="20"/>
        <v>28</v>
      </c>
      <c r="G170" s="82" t="s">
        <v>293</v>
      </c>
      <c r="H170" s="90">
        <f t="shared" si="21"/>
        <v>14.5</v>
      </c>
      <c r="I170" s="82" t="s">
        <v>294</v>
      </c>
      <c r="J170" s="79"/>
      <c r="K170" s="82" t="s">
        <v>293</v>
      </c>
      <c r="L170" s="90">
        <f t="shared" si="22"/>
        <v>14.5</v>
      </c>
      <c r="M170" s="82" t="s">
        <v>294</v>
      </c>
    </row>
    <row r="171" spans="1:57" x14ac:dyDescent="0.25">
      <c r="B171" s="79"/>
      <c r="C171" s="80" t="str">
        <f t="shared" si="19"/>
        <v>Utbildning, skatter, stöd, odling</v>
      </c>
      <c r="D171" s="81"/>
      <c r="E171" s="81"/>
      <c r="F171" s="824">
        <f t="shared" si="20"/>
        <v>12</v>
      </c>
      <c r="G171" s="82" t="s">
        <v>293</v>
      </c>
      <c r="H171" s="90">
        <f t="shared" si="21"/>
        <v>14.5</v>
      </c>
      <c r="I171" s="82" t="s">
        <v>294</v>
      </c>
      <c r="J171" s="79"/>
      <c r="K171" s="82" t="s">
        <v>293</v>
      </c>
      <c r="L171" s="90">
        <f>$L$155</f>
        <v>14.5</v>
      </c>
      <c r="M171" s="82" t="s">
        <v>294</v>
      </c>
    </row>
    <row r="172" spans="1:57" x14ac:dyDescent="0.25">
      <c r="B172" s="79"/>
      <c r="C172" s="80" t="str">
        <f t="shared" si="19"/>
        <v>Bokslut</v>
      </c>
      <c r="D172" s="81"/>
      <c r="E172" s="81"/>
      <c r="F172" s="824">
        <f t="shared" si="20"/>
        <v>6</v>
      </c>
      <c r="G172" s="82" t="s">
        <v>293</v>
      </c>
      <c r="H172" s="90">
        <f t="shared" si="21"/>
        <v>14.5</v>
      </c>
      <c r="I172" s="82" t="s">
        <v>294</v>
      </c>
      <c r="J172" s="79"/>
      <c r="K172" s="82" t="s">
        <v>293</v>
      </c>
      <c r="L172" s="90">
        <f t="shared" ref="L172:L180" si="23">$L$155</f>
        <v>14.5</v>
      </c>
      <c r="M172" s="82" t="s">
        <v>294</v>
      </c>
    </row>
    <row r="173" spans="1:57" x14ac:dyDescent="0.25">
      <c r="B173" s="79"/>
      <c r="C173" s="80" t="str">
        <f t="shared" si="19"/>
        <v>Företagshälsovård</v>
      </c>
      <c r="D173" s="81"/>
      <c r="E173" s="81"/>
      <c r="F173" s="824">
        <f t="shared" si="20"/>
        <v>2</v>
      </c>
      <c r="G173" s="82" t="s">
        <v>293</v>
      </c>
      <c r="H173" s="90">
        <f t="shared" si="21"/>
        <v>14.5</v>
      </c>
      <c r="I173" s="82" t="s">
        <v>294</v>
      </c>
      <c r="J173" s="79"/>
      <c r="K173" s="82" t="s">
        <v>293</v>
      </c>
      <c r="L173" s="90">
        <f t="shared" si="23"/>
        <v>14.5</v>
      </c>
      <c r="M173" s="82" t="s">
        <v>294</v>
      </c>
    </row>
    <row r="174" spans="1:57" x14ac:dyDescent="0.25">
      <c r="B174" s="79"/>
      <c r="C174" s="80" t="str">
        <f t="shared" si="19"/>
        <v>Strategisk planering</v>
      </c>
      <c r="D174" s="81"/>
      <c r="E174" s="81"/>
      <c r="F174" s="824">
        <f t="shared" si="20"/>
        <v>4</v>
      </c>
      <c r="G174" s="82" t="s">
        <v>293</v>
      </c>
      <c r="H174" s="90">
        <f t="shared" si="21"/>
        <v>14.5</v>
      </c>
      <c r="I174" s="82" t="s">
        <v>294</v>
      </c>
      <c r="J174" s="79"/>
      <c r="K174" s="82" t="s">
        <v>293</v>
      </c>
      <c r="L174" s="90">
        <f t="shared" si="23"/>
        <v>14.5</v>
      </c>
      <c r="M174" s="82" t="s">
        <v>294</v>
      </c>
    </row>
    <row r="175" spans="1:57" x14ac:dyDescent="0.25">
      <c r="B175" s="79"/>
      <c r="C175" s="80" t="str">
        <f t="shared" si="19"/>
        <v>Inköp av produktionsinsatser</v>
      </c>
      <c r="D175" s="81"/>
      <c r="E175" s="81"/>
      <c r="F175" s="824">
        <f t="shared" si="20"/>
        <v>12</v>
      </c>
      <c r="G175" s="82" t="s">
        <v>293</v>
      </c>
      <c r="H175" s="90">
        <f t="shared" si="21"/>
        <v>14.5</v>
      </c>
      <c r="I175" s="82" t="s">
        <v>294</v>
      </c>
      <c r="J175" s="79"/>
      <c r="K175" s="82" t="s">
        <v>293</v>
      </c>
      <c r="L175" s="90">
        <f t="shared" si="23"/>
        <v>14.5</v>
      </c>
      <c r="M175" s="82" t="s">
        <v>294</v>
      </c>
    </row>
    <row r="176" spans="1:57" x14ac:dyDescent="0.25">
      <c r="B176" s="79"/>
      <c r="C176" s="80" t="str">
        <f t="shared" si="19"/>
        <v>Personalledning</v>
      </c>
      <c r="D176" s="81"/>
      <c r="E176" s="81"/>
      <c r="F176" s="824">
        <f t="shared" si="20"/>
        <v>30</v>
      </c>
      <c r="G176" s="82" t="s">
        <v>293</v>
      </c>
      <c r="H176" s="90">
        <f t="shared" si="21"/>
        <v>14.5</v>
      </c>
      <c r="I176" s="82" t="s">
        <v>294</v>
      </c>
      <c r="J176" s="79"/>
      <c r="K176" s="82" t="s">
        <v>293</v>
      </c>
      <c r="L176" s="90">
        <f t="shared" si="23"/>
        <v>14.5</v>
      </c>
      <c r="M176" s="82" t="s">
        <v>294</v>
      </c>
    </row>
    <row r="177" spans="2:21" x14ac:dyDescent="0.25">
      <c r="B177" s="79"/>
      <c r="C177" s="80" t="str">
        <f t="shared" si="19"/>
        <v>Marknadsföring</v>
      </c>
      <c r="D177" s="81"/>
      <c r="E177" s="81"/>
      <c r="F177" s="824">
        <f t="shared" si="20"/>
        <v>10</v>
      </c>
      <c r="G177" s="82" t="s">
        <v>293</v>
      </c>
      <c r="H177" s="90">
        <f t="shared" si="21"/>
        <v>14.5</v>
      </c>
      <c r="I177" s="82" t="s">
        <v>294</v>
      </c>
      <c r="J177" s="79"/>
      <c r="K177" s="82" t="s">
        <v>293</v>
      </c>
      <c r="L177" s="90">
        <f t="shared" si="23"/>
        <v>14.5</v>
      </c>
      <c r="M177" s="82" t="s">
        <v>294</v>
      </c>
    </row>
    <row r="178" spans="2:21" x14ac:dyDescent="0.25">
      <c r="B178" s="79"/>
      <c r="C178" s="80" t="str">
        <f t="shared" si="19"/>
        <v>Arbetsmoment X</v>
      </c>
      <c r="D178" s="81"/>
      <c r="E178" s="81"/>
      <c r="F178" s="824">
        <f t="shared" ref="F178:F180" si="24">BD29</f>
        <v>0</v>
      </c>
      <c r="G178" s="82" t="s">
        <v>293</v>
      </c>
      <c r="H178" s="90">
        <f t="shared" si="21"/>
        <v>14.5</v>
      </c>
      <c r="I178" s="82" t="s">
        <v>294</v>
      </c>
      <c r="J178" s="79"/>
      <c r="K178" s="82" t="s">
        <v>293</v>
      </c>
      <c r="L178" s="90">
        <f t="shared" si="23"/>
        <v>14.5</v>
      </c>
      <c r="M178" s="82" t="s">
        <v>294</v>
      </c>
    </row>
    <row r="179" spans="2:21" x14ac:dyDescent="0.25">
      <c r="B179" s="79"/>
      <c r="C179" s="80" t="str">
        <f t="shared" si="19"/>
        <v>Arbetsmoment X</v>
      </c>
      <c r="D179" s="81"/>
      <c r="E179" s="81"/>
      <c r="F179" s="824">
        <f t="shared" si="24"/>
        <v>0</v>
      </c>
      <c r="G179" s="82" t="s">
        <v>293</v>
      </c>
      <c r="H179" s="90">
        <f t="shared" si="21"/>
        <v>14.5</v>
      </c>
      <c r="I179" s="82" t="s">
        <v>294</v>
      </c>
      <c r="J179" s="79"/>
      <c r="K179" s="82" t="s">
        <v>293</v>
      </c>
      <c r="L179" s="90">
        <f t="shared" si="23"/>
        <v>14.5</v>
      </c>
      <c r="M179" s="82" t="s">
        <v>294</v>
      </c>
    </row>
    <row r="180" spans="2:21" x14ac:dyDescent="0.25">
      <c r="B180" s="79"/>
      <c r="C180" s="80" t="str">
        <f t="shared" si="19"/>
        <v>Arbetsmoment X</v>
      </c>
      <c r="D180" s="81"/>
      <c r="E180" s="81"/>
      <c r="F180" s="824">
        <f t="shared" si="24"/>
        <v>0</v>
      </c>
      <c r="G180" s="82" t="s">
        <v>293</v>
      </c>
      <c r="H180" s="90">
        <f t="shared" si="21"/>
        <v>14.5</v>
      </c>
      <c r="I180" s="82" t="s">
        <v>294</v>
      </c>
      <c r="J180" s="79"/>
      <c r="K180" s="82" t="s">
        <v>293</v>
      </c>
      <c r="L180" s="90">
        <f t="shared" si="23"/>
        <v>14.5</v>
      </c>
      <c r="M180" s="82" t="s">
        <v>294</v>
      </c>
    </row>
    <row r="181" spans="2:21" x14ac:dyDescent="0.25">
      <c r="B181" s="209"/>
      <c r="C181" s="849" t="s">
        <v>54</v>
      </c>
      <c r="D181" s="850"/>
      <c r="E181" s="850"/>
      <c r="F181" s="851">
        <f>SUM(F155:F180)</f>
        <v>214</v>
      </c>
      <c r="G181" s="812" t="s">
        <v>293</v>
      </c>
      <c r="H181" s="852">
        <f>F181*H155</f>
        <v>3103</v>
      </c>
      <c r="I181" s="853" t="s">
        <v>57</v>
      </c>
      <c r="J181" s="851">
        <f>SUM(J155:J180)</f>
        <v>30</v>
      </c>
      <c r="K181" s="853" t="s">
        <v>293</v>
      </c>
      <c r="L181" s="852">
        <f>J181*L155</f>
        <v>435</v>
      </c>
      <c r="M181" s="853" t="s">
        <v>57</v>
      </c>
    </row>
    <row r="182" spans="2:21" x14ac:dyDescent="0.25">
      <c r="B182" s="209"/>
      <c r="C182" s="210"/>
      <c r="D182" s="211"/>
      <c r="E182" s="211"/>
      <c r="F182" s="212"/>
      <c r="G182" s="209"/>
      <c r="H182" s="213"/>
      <c r="I182" s="209"/>
      <c r="J182" s="212"/>
      <c r="K182" s="209"/>
      <c r="L182" s="213"/>
      <c r="M182" s="209"/>
    </row>
    <row r="184" spans="2:21" ht="40.200000000000003" customHeight="1" x14ac:dyDescent="0.25">
      <c r="N184" s="5"/>
      <c r="O184" s="5"/>
      <c r="P184" s="5"/>
      <c r="Q184" s="5"/>
      <c r="R184" s="5"/>
      <c r="S184" s="5"/>
      <c r="T184" s="5"/>
      <c r="U184" s="5"/>
    </row>
    <row r="187" spans="2:21" ht="37.950000000000003" customHeight="1" x14ac:dyDescent="0.25"/>
    <row r="199" spans="1:57" s="5" customFormat="1" x14ac:dyDescent="0.25">
      <c r="A199" s="305"/>
      <c r="B199"/>
      <c r="C199"/>
      <c r="D199"/>
      <c r="E199"/>
      <c r="F199"/>
      <c r="G199"/>
      <c r="H199"/>
      <c r="I199"/>
      <c r="J199"/>
      <c r="K199"/>
      <c r="L199"/>
      <c r="M199"/>
      <c r="N199"/>
      <c r="O199"/>
      <c r="P199"/>
      <c r="Q199"/>
      <c r="R199"/>
      <c r="S199"/>
      <c r="T199"/>
      <c r="U199"/>
      <c r="AE199"/>
      <c r="AF199"/>
      <c r="AG199"/>
      <c r="AH199"/>
      <c r="AI199"/>
      <c r="AJ199"/>
      <c r="AK199"/>
      <c r="AL199"/>
      <c r="AM199"/>
      <c r="AN199"/>
      <c r="AO199"/>
      <c r="AP199"/>
      <c r="AQ199"/>
      <c r="AR199"/>
      <c r="AS199"/>
      <c r="AT199"/>
      <c r="AU199"/>
      <c r="AV199"/>
      <c r="AW199"/>
      <c r="AX199"/>
      <c r="AY199"/>
      <c r="AZ199"/>
      <c r="BA199"/>
      <c r="BB199"/>
      <c r="BC199"/>
      <c r="BD199"/>
      <c r="BE199"/>
    </row>
    <row r="200" spans="1:57" x14ac:dyDescent="0.2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row>
    <row r="201" spans="1:57" x14ac:dyDescent="0.25">
      <c r="N201" s="5"/>
      <c r="O201" s="5"/>
      <c r="P201" s="5"/>
      <c r="Q201" s="5"/>
      <c r="R201" s="5"/>
      <c r="S201" s="5"/>
      <c r="T201" s="5"/>
      <c r="U201" s="5"/>
    </row>
  </sheetData>
  <mergeCells count="58">
    <mergeCell ref="AZ5:BA5"/>
    <mergeCell ref="BB5:BC5"/>
    <mergeCell ref="AP5:AQ5"/>
    <mergeCell ref="AR5:AS5"/>
    <mergeCell ref="AT5:AU5"/>
    <mergeCell ref="AV5:AW5"/>
    <mergeCell ref="AX5:AY5"/>
    <mergeCell ref="AF5:AG5"/>
    <mergeCell ref="AH5:AI5"/>
    <mergeCell ref="AJ5:AK5"/>
    <mergeCell ref="AL5:AM5"/>
    <mergeCell ref="AN5:AO5"/>
    <mergeCell ref="F128:G128"/>
    <mergeCell ref="H128:I128"/>
    <mergeCell ref="J128:K128"/>
    <mergeCell ref="B150:M150"/>
    <mergeCell ref="E153:G153"/>
    <mergeCell ref="H153:I153"/>
    <mergeCell ref="J153:K153"/>
    <mergeCell ref="L153:M153"/>
    <mergeCell ref="B151:F151"/>
    <mergeCell ref="F107:G107"/>
    <mergeCell ref="H107:I107"/>
    <mergeCell ref="J107:K107"/>
    <mergeCell ref="F120:G120"/>
    <mergeCell ref="H120:I120"/>
    <mergeCell ref="J120:K120"/>
    <mergeCell ref="F76:G76"/>
    <mergeCell ref="H76:I76"/>
    <mergeCell ref="J76:K76"/>
    <mergeCell ref="F86:G86"/>
    <mergeCell ref="H86:I86"/>
    <mergeCell ref="J86:K86"/>
    <mergeCell ref="C34:D34"/>
    <mergeCell ref="L69:M69"/>
    <mergeCell ref="F71:G71"/>
    <mergeCell ref="H71:I71"/>
    <mergeCell ref="J71:K71"/>
    <mergeCell ref="B57:D57"/>
    <mergeCell ref="B64:D64"/>
    <mergeCell ref="B66:D66"/>
    <mergeCell ref="B69:E69"/>
    <mergeCell ref="T9:U9"/>
    <mergeCell ref="B11:D11"/>
    <mergeCell ref="C55:D55"/>
    <mergeCell ref="O18:Q18"/>
    <mergeCell ref="B2:C2"/>
    <mergeCell ref="B4:L4"/>
    <mergeCell ref="O9:Q9"/>
    <mergeCell ref="B38:D38"/>
    <mergeCell ref="C41:D41"/>
    <mergeCell ref="B45:D45"/>
    <mergeCell ref="C48:D48"/>
    <mergeCell ref="B52:C52"/>
    <mergeCell ref="B26:E26"/>
    <mergeCell ref="B27:E27"/>
    <mergeCell ref="B28:D28"/>
    <mergeCell ref="B31:C31"/>
  </mergeCells>
  <hyperlinks>
    <hyperlink ref="B2" location="Tilakokonaisuus!A1" display="PALAA ETUSIVULLE" xr:uid="{CAF1BC7D-27C4-3A4E-A0C4-5F135E5F0FBA}"/>
    <hyperlink ref="B2:C2" location="'Gårdens info'!A1" display="TILL FRAMSIDAN" xr:uid="{189F2C07-9384-F14F-BDA9-A678A56C766D}"/>
    <hyperlink ref="B26:E26" location="'Gårdens info'!C97" display="ALMÄNNA KOSTNADER, lökens andel" xr:uid="{F3D221D1-176C-D441-8527-16509C78268A}"/>
    <hyperlink ref="B31:C31" location="Omaisuus!B15" display="RAKENNUKSET" xr:uid="{836371D5-4DCE-314F-8371-10CD7B7A7DD3}"/>
    <hyperlink ref="B38:D38" location="Omaisuus!B28" display="KONEET JA KALUSTO" xr:uid="{07E03F2A-E76E-E541-B991-6E2F871F94C8}"/>
    <hyperlink ref="B45:D45" location="Omaisuus!B51" display="PIDEMPIAIKAISET TUOTANTOVÄLINEET" xr:uid="{9FF5C038-8590-E44F-A791-C2A1630DA1FF}"/>
    <hyperlink ref="B52:C52" location="Omaisuus!B70" display="SALAOJAT" xr:uid="{0D2936A3-4CC9-4F4A-93B1-E1784DBDCE52}"/>
    <hyperlink ref="L69" location="'Avomaan mansikka'!B2" display="PALAA SIVUN YLÄLAITAAN" xr:uid="{9B482F55-7C98-7444-BE22-E8589D94AAB9}"/>
    <hyperlink ref="L69:M69" location="Lök!A1" display="TILL SIDANS BÖRJAN" xr:uid="{E0789D1E-0FB4-E14F-B3F4-CB5C13BE06C7}"/>
    <hyperlink ref="B151:E151" location="Sipuli!AP2" display="Tästä pääset kuukausittaiseen työnkäyttötaulukkoon." xr:uid="{AFAE2EAA-AA10-494A-80D1-652EA2886AAD}"/>
    <hyperlink ref="B151:F151" location="Lök!AS2" display="Här kommer du till den månatliga arbetsanvändningstabellen" xr:uid="{0ED0C4AC-5BBD-4FE8-AE9A-F0273EAE6762}"/>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4E92E-5E1F-8A45-81DD-C8D38CF78EC5}">
  <sheetPr>
    <tabColor rgb="FFFFFF00"/>
  </sheetPr>
  <dimension ref="A1:AC190"/>
  <sheetViews>
    <sheetView topLeftCell="A124" zoomScale="54" zoomScaleNormal="100" workbookViewId="0">
      <selection activeCell="C157" sqref="C157"/>
    </sheetView>
  </sheetViews>
  <sheetFormatPr defaultColWidth="11.44140625" defaultRowHeight="13.2" x14ac:dyDescent="0.25"/>
  <cols>
    <col min="1" max="1" width="5.33203125" style="101"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s>
  <sheetData>
    <row r="1" spans="1:21" s="101" customFormat="1" ht="22.8" x14ac:dyDescent="0.4">
      <c r="B1" s="312" t="s">
        <v>14</v>
      </c>
    </row>
    <row r="2" spans="1:21" ht="27" customHeight="1" x14ac:dyDescent="0.3">
      <c r="B2" s="1094" t="s">
        <v>201</v>
      </c>
      <c r="C2" s="1094"/>
      <c r="F2" s="69"/>
      <c r="G2" s="69"/>
      <c r="H2" s="69"/>
    </row>
    <row r="3" spans="1:21" ht="27" customHeight="1" x14ac:dyDescent="0.3">
      <c r="B3" s="189"/>
      <c r="C3" s="189"/>
    </row>
    <row r="4" spans="1:21" ht="49.2" customHeight="1" x14ac:dyDescent="0.3">
      <c r="B4" s="1109" t="s">
        <v>375</v>
      </c>
      <c r="C4" s="1109"/>
      <c r="D4" s="1109"/>
      <c r="E4" s="1109"/>
      <c r="F4" s="1109"/>
      <c r="G4" s="1109"/>
      <c r="H4" s="1109"/>
      <c r="I4" s="1109"/>
      <c r="J4" s="1109"/>
      <c r="K4" s="1109"/>
      <c r="L4" s="1109"/>
    </row>
    <row r="5" spans="1:21" ht="27" customHeight="1" thickBot="1" x14ac:dyDescent="0.35">
      <c r="B5" s="189"/>
      <c r="C5" s="189"/>
    </row>
    <row r="6" spans="1:21" ht="27" customHeight="1" x14ac:dyDescent="0.4">
      <c r="B6" s="256" t="s">
        <v>491</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H9*'Gårdens info'!G15</f>
        <v>25550</v>
      </c>
      <c r="G9" s="119" t="s">
        <v>57</v>
      </c>
      <c r="H9" s="508">
        <f>IF('Gårdens info'!G15&gt;0,(('Gårdens info'!D15*'Gårdens info'!G15*S10*T10)+('Gårdens info'!D15*'Gårdens info'!G15*S11*T11)+('Gårdens info'!D15*'Gårdens info'!G15*S12*T12)+('Gårdens info'!D15*'Gårdens info'!G15*S13*T13)+('Gårdens info'!D15*'Gårdens info'!G15*S14*T14)+('Gårdens info'!D15*'Gårdens info'!G15*S15*T15)+('Gårdens info'!D15*'Gårdens info'!G15*S16*T16)+('Gårdens info'!D15*'Gårdens info'!G15*S17*T17))/(('Gårdens info'!D15*'Gårdens info'!G15)),0)</f>
        <v>0.73</v>
      </c>
      <c r="I9" s="119" t="s">
        <v>206</v>
      </c>
      <c r="J9" s="229">
        <f>F9*'Gårdens info'!D15</f>
        <v>127750</v>
      </c>
      <c r="K9" s="119" t="s">
        <v>476</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info'!D15&gt;0,Stöd!L15,0)</f>
        <v>1027.0999999999999</v>
      </c>
      <c r="G10" s="119" t="s">
        <v>57</v>
      </c>
      <c r="H10" s="508">
        <f>IF('Gårdens info'!G15&gt;0,F10/'Gårdens info'!G15,0)</f>
        <v>2.9345714285714284E-2</v>
      </c>
      <c r="I10" s="119" t="s">
        <v>206</v>
      </c>
      <c r="J10" s="229">
        <f>F10*'Gårdens info'!D15</f>
        <v>5135.5</v>
      </c>
      <c r="K10" s="119" t="s">
        <v>476</v>
      </c>
      <c r="L10" s="119"/>
      <c r="M10" s="226"/>
      <c r="N10" s="369"/>
      <c r="O10" s="119">
        <v>1</v>
      </c>
      <c r="P10" s="119" t="s">
        <v>212</v>
      </c>
      <c r="Q10" s="119" t="s">
        <v>213</v>
      </c>
      <c r="R10" s="119"/>
      <c r="S10" s="377">
        <v>0</v>
      </c>
      <c r="T10" s="255"/>
      <c r="U10" s="239" t="s">
        <v>206</v>
      </c>
    </row>
    <row r="11" spans="1:21" s="5" customFormat="1" ht="21.6" thickBot="1" x14ac:dyDescent="0.45">
      <c r="A11" s="305"/>
      <c r="B11" s="1061" t="s">
        <v>214</v>
      </c>
      <c r="C11" s="1043"/>
      <c r="D11" s="1043"/>
      <c r="E11" s="262"/>
      <c r="F11" s="266">
        <f>F9+F10</f>
        <v>26577.1</v>
      </c>
      <c r="G11" s="267" t="s">
        <v>57</v>
      </c>
      <c r="H11" s="507">
        <f>H9+H10</f>
        <v>0.75934571428571429</v>
      </c>
      <c r="I11" s="267" t="s">
        <v>206</v>
      </c>
      <c r="J11" s="269">
        <f>J9+J10</f>
        <v>132885.5</v>
      </c>
      <c r="K11" s="267" t="s">
        <v>476</v>
      </c>
      <c r="L11" s="267"/>
      <c r="M11" s="259"/>
      <c r="N11" s="370"/>
      <c r="O11" s="119">
        <v>0.25</v>
      </c>
      <c r="P11" s="119" t="s">
        <v>212</v>
      </c>
      <c r="Q11" s="119" t="s">
        <v>333</v>
      </c>
      <c r="R11" s="119"/>
      <c r="S11" s="379">
        <v>0</v>
      </c>
      <c r="T11" s="255"/>
      <c r="U11" s="239" t="s">
        <v>206</v>
      </c>
    </row>
    <row r="12" spans="1:21" s="5" customFormat="1" ht="21.6" thickBot="1" x14ac:dyDescent="0.45">
      <c r="A12" s="305"/>
      <c r="B12" s="288"/>
      <c r="C12" s="270"/>
      <c r="D12" s="270"/>
      <c r="E12" s="262"/>
      <c r="F12" s="266"/>
      <c r="G12" s="267"/>
      <c r="H12" s="268"/>
      <c r="I12" s="267"/>
      <c r="J12" s="269"/>
      <c r="K12" s="267"/>
      <c r="L12" s="267"/>
      <c r="M12" s="259"/>
      <c r="N12" s="370"/>
      <c r="O12" s="119">
        <v>0.5</v>
      </c>
      <c r="P12" s="119" t="s">
        <v>212</v>
      </c>
      <c r="Q12" s="119" t="s">
        <v>213</v>
      </c>
      <c r="R12" s="119"/>
      <c r="S12" s="379">
        <v>0.5</v>
      </c>
      <c r="T12" s="255">
        <v>0.74</v>
      </c>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0.5</v>
      </c>
      <c r="T13" s="255">
        <v>0.72</v>
      </c>
      <c r="U13" s="239" t="s">
        <v>206</v>
      </c>
    </row>
    <row r="14" spans="1:21" ht="21.6" thickBot="1" x14ac:dyDescent="0.45">
      <c r="B14" s="257" t="s">
        <v>186</v>
      </c>
      <c r="C14" s="225"/>
      <c r="D14" s="116"/>
      <c r="E14" s="116"/>
      <c r="F14" s="116"/>
      <c r="G14" s="116"/>
      <c r="H14" s="116"/>
      <c r="I14" s="116"/>
      <c r="J14" s="232"/>
      <c r="K14" s="116"/>
      <c r="L14" s="116"/>
      <c r="M14" s="226"/>
      <c r="N14" s="369"/>
      <c r="O14" s="255">
        <f>D113</f>
        <v>0</v>
      </c>
      <c r="P14" s="119" t="s">
        <v>212</v>
      </c>
      <c r="Q14" s="298" t="str">
        <f>C113</f>
        <v>förpackning X</v>
      </c>
      <c r="R14" s="119"/>
      <c r="S14" s="379">
        <v>0</v>
      </c>
      <c r="T14" s="255"/>
      <c r="U14" s="239" t="s">
        <v>206</v>
      </c>
    </row>
    <row r="15" spans="1:21" s="56" customFormat="1" ht="16.95" customHeight="1" thickBot="1" x14ac:dyDescent="0.35">
      <c r="A15" s="307"/>
      <c r="B15" s="493"/>
      <c r="C15" s="245"/>
      <c r="D15" s="249"/>
      <c r="E15" s="249"/>
      <c r="F15" s="250"/>
      <c r="G15" s="120"/>
      <c r="H15" s="249"/>
      <c r="I15" s="249"/>
      <c r="J15" s="249"/>
      <c r="K15" s="249"/>
      <c r="L15" s="249"/>
      <c r="M15" s="234"/>
      <c r="N15" s="369"/>
      <c r="O15" s="255">
        <f t="shared" ref="O15:O17" si="0">D114</f>
        <v>0</v>
      </c>
      <c r="P15" s="119" t="s">
        <v>212</v>
      </c>
      <c r="Q15" s="298" t="str">
        <f t="shared" ref="Q15:Q16" si="1">C114</f>
        <v>förpackning X</v>
      </c>
      <c r="R15" s="119"/>
      <c r="S15" s="379">
        <v>0</v>
      </c>
      <c r="T15" s="255"/>
      <c r="U15" s="239" t="s">
        <v>206</v>
      </c>
    </row>
    <row r="16" spans="1:21" s="69" customFormat="1" ht="15.6" thickBot="1" x14ac:dyDescent="0.3">
      <c r="A16" s="307"/>
      <c r="B16" s="493"/>
      <c r="C16" s="940" t="s">
        <v>164</v>
      </c>
      <c r="D16" s="236"/>
      <c r="E16" s="236"/>
      <c r="F16" s="247">
        <f>IF('Gårdens info'!D15&gt;0,J73,0)</f>
        <v>1900</v>
      </c>
      <c r="G16" s="119" t="s">
        <v>57</v>
      </c>
      <c r="H16" s="503">
        <f>IF('Gårdens info'!$G$15&gt;0,F16/'Gårdens info'!$G$15,0)</f>
        <v>5.4285714285714284E-2</v>
      </c>
      <c r="I16" s="119" t="s">
        <v>206</v>
      </c>
      <c r="J16" s="237">
        <f>F16*'Gårdens info'!$D$15</f>
        <v>9500</v>
      </c>
      <c r="K16" s="119" t="s">
        <v>476</v>
      </c>
      <c r="L16" s="236"/>
      <c r="M16" s="239"/>
      <c r="N16" s="227"/>
      <c r="O16" s="255">
        <f t="shared" si="0"/>
        <v>0</v>
      </c>
      <c r="P16" s="119" t="s">
        <v>212</v>
      </c>
      <c r="Q16" s="298" t="str">
        <f t="shared" si="1"/>
        <v>förpackning X</v>
      </c>
      <c r="R16" s="119"/>
      <c r="S16" s="379">
        <v>0</v>
      </c>
      <c r="T16" s="255"/>
      <c r="U16" s="239" t="s">
        <v>206</v>
      </c>
    </row>
    <row r="17" spans="1:29" s="69" customFormat="1" ht="15.6" thickBot="1" x14ac:dyDescent="0.3">
      <c r="A17" s="307"/>
      <c r="B17" s="235"/>
      <c r="C17" s="940" t="s">
        <v>219</v>
      </c>
      <c r="D17" s="236"/>
      <c r="E17" s="236"/>
      <c r="F17" s="237">
        <f>IF('Gårdens info'!D15&gt;0,J83,0)</f>
        <v>1288</v>
      </c>
      <c r="G17" s="119" t="s">
        <v>57</v>
      </c>
      <c r="H17" s="503">
        <f>IF('Gårdens info'!$G$15&gt;0,F17/'Gårdens info'!$G$15,0)</f>
        <v>3.6799999999999999E-2</v>
      </c>
      <c r="I17" s="119" t="s">
        <v>206</v>
      </c>
      <c r="J17" s="237">
        <f>F17*'Gårdens info'!$D$15</f>
        <v>6440</v>
      </c>
      <c r="K17" s="119" t="s">
        <v>476</v>
      </c>
      <c r="L17" s="236"/>
      <c r="M17" s="239"/>
      <c r="N17" s="369"/>
      <c r="O17" s="255">
        <f t="shared" si="0"/>
        <v>0</v>
      </c>
      <c r="P17" s="119" t="s">
        <v>212</v>
      </c>
      <c r="Q17" s="119" t="s">
        <v>272</v>
      </c>
      <c r="R17" s="119"/>
      <c r="S17" s="378">
        <v>0</v>
      </c>
      <c r="T17" s="255"/>
      <c r="U17" s="239" t="s">
        <v>206</v>
      </c>
    </row>
    <row r="18" spans="1:29" s="69" customFormat="1" ht="17.399999999999999" x14ac:dyDescent="0.3">
      <c r="A18" s="307"/>
      <c r="B18" s="235"/>
      <c r="C18" s="940" t="s">
        <v>220</v>
      </c>
      <c r="D18" s="236"/>
      <c r="E18" s="236"/>
      <c r="F18" s="237">
        <f>IF('Gårdens info'!D15&gt;0,J104,0)</f>
        <v>884</v>
      </c>
      <c r="G18" s="119" t="s">
        <v>57</v>
      </c>
      <c r="H18" s="503">
        <f>IF('Gårdens info'!$G$15&gt;0,F18/'Gårdens info'!$G$15,0)</f>
        <v>2.5257142857142856E-2</v>
      </c>
      <c r="I18" s="119" t="s">
        <v>206</v>
      </c>
      <c r="J18" s="237">
        <f>F18*'Gårdens info'!$D$15</f>
        <v>4420</v>
      </c>
      <c r="K18" s="119" t="s">
        <v>476</v>
      </c>
      <c r="L18" s="236"/>
      <c r="M18" s="239"/>
      <c r="N18" s="371"/>
      <c r="O18" s="1088" t="s">
        <v>54</v>
      </c>
      <c r="P18" s="1088"/>
      <c r="Q18" s="1088"/>
      <c r="R18" s="120"/>
      <c r="S18" s="375">
        <f>SUM(S10:S17)</f>
        <v>1</v>
      </c>
      <c r="T18" s="120"/>
      <c r="U18" s="234"/>
    </row>
    <row r="19" spans="1:29" s="69" customFormat="1" ht="15.6" x14ac:dyDescent="0.3">
      <c r="A19" s="307"/>
      <c r="B19" s="235"/>
      <c r="C19" s="940" t="s">
        <v>221</v>
      </c>
      <c r="D19" s="236"/>
      <c r="E19" s="236"/>
      <c r="F19" s="237">
        <f>IF('Gårdens info'!D15&gt;0,J117,0)</f>
        <v>1200</v>
      </c>
      <c r="G19" s="119" t="s">
        <v>57</v>
      </c>
      <c r="H19" s="503">
        <f>IF('Gårdens info'!$G$15&gt;0,F19/'Gårdens info'!$G$15,0)</f>
        <v>3.4285714285714287E-2</v>
      </c>
      <c r="I19" s="119" t="s">
        <v>206</v>
      </c>
      <c r="J19" s="237">
        <f>F19*'Gårdens info'!$D$15</f>
        <v>6000</v>
      </c>
      <c r="K19" s="119" t="s">
        <v>476</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307"/>
      <c r="B20" s="235"/>
      <c r="C20" s="940" t="s">
        <v>222</v>
      </c>
      <c r="D20" s="236"/>
      <c r="E20" s="236"/>
      <c r="F20" s="237">
        <f>IF('Gårdens info'!D15&gt;0,J125,0)</f>
        <v>1280</v>
      </c>
      <c r="G20" s="119" t="s">
        <v>57</v>
      </c>
      <c r="H20" s="503">
        <f>IF('Gårdens info'!$G$15&gt;0,F20/'Gårdens info'!$G$15,0)</f>
        <v>3.6571428571428574E-2</v>
      </c>
      <c r="I20" s="119" t="s">
        <v>206</v>
      </c>
      <c r="J20" s="237">
        <f>F20*'Gårdens info'!$D$15</f>
        <v>6400</v>
      </c>
      <c r="K20" s="119" t="s">
        <v>476</v>
      </c>
      <c r="L20" s="236"/>
      <c r="M20" s="239"/>
      <c r="N20" s="372"/>
      <c r="O20" s="373"/>
      <c r="P20" s="373"/>
      <c r="Q20" s="373"/>
      <c r="R20" s="373"/>
      <c r="S20" s="373"/>
      <c r="T20" s="373"/>
      <c r="U20" s="374"/>
    </row>
    <row r="21" spans="1:29" s="69" customFormat="1" ht="15" x14ac:dyDescent="0.25">
      <c r="A21" s="307"/>
      <c r="B21" s="235"/>
      <c r="C21" s="940" t="s">
        <v>223</v>
      </c>
      <c r="D21" s="236"/>
      <c r="E21" s="236"/>
      <c r="F21" s="237">
        <f>IF('Gårdens info'!D15&gt;0,J133,0)</f>
        <v>0</v>
      </c>
      <c r="G21" s="119" t="s">
        <v>57</v>
      </c>
      <c r="H21" s="503">
        <f>IF('Gårdens info'!$G$15&gt;0,F21/'Gårdens info'!$G$15,0)</f>
        <v>0</v>
      </c>
      <c r="I21" s="119" t="s">
        <v>206</v>
      </c>
      <c r="J21" s="237">
        <f>F21*'Gårdens info'!$D$15</f>
        <v>0</v>
      </c>
      <c r="K21" s="119" t="s">
        <v>476</v>
      </c>
      <c r="L21" s="236"/>
      <c r="M21" s="239"/>
    </row>
    <row r="22" spans="1:29" s="69" customFormat="1" ht="15" x14ac:dyDescent="0.25">
      <c r="A22" s="307"/>
      <c r="B22" s="235"/>
      <c r="C22" s="940" t="s">
        <v>224</v>
      </c>
      <c r="D22" s="236"/>
      <c r="E22" s="236"/>
      <c r="F22" s="237">
        <f>IF('Gårdens info'!D15&gt;0,J145,0)</f>
        <v>2267.16</v>
      </c>
      <c r="G22" s="119" t="s">
        <v>57</v>
      </c>
      <c r="H22" s="503">
        <f>IF('Gårdens info'!$G$15&gt;0,F22/'Gårdens info'!$G$15,0)</f>
        <v>6.4776E-2</v>
      </c>
      <c r="I22" s="119" t="s">
        <v>206</v>
      </c>
      <c r="J22" s="237">
        <f>F22*'Gårdens info'!$D$15</f>
        <v>11335.8</v>
      </c>
      <c r="K22" s="119" t="s">
        <v>476</v>
      </c>
      <c r="L22" s="236"/>
      <c r="M22" s="239"/>
    </row>
    <row r="23" spans="1:29" s="69" customFormat="1" ht="15" x14ac:dyDescent="0.25">
      <c r="A23" s="307"/>
      <c r="B23" s="235"/>
      <c r="C23" s="940" t="s">
        <v>225</v>
      </c>
      <c r="D23" s="236"/>
      <c r="E23" s="236"/>
      <c r="F23" s="237">
        <f>IF('Gårdens info'!D15,L171,0)</f>
        <v>783</v>
      </c>
      <c r="G23" s="119" t="s">
        <v>57</v>
      </c>
      <c r="H23" s="503">
        <f>IF('Gårdens info'!$G$15&gt;0,F23/'Gårdens info'!$G$15,0)</f>
        <v>2.237142857142857E-2</v>
      </c>
      <c r="I23" s="119" t="s">
        <v>206</v>
      </c>
      <c r="J23" s="237">
        <f>F23*'Gårdens info'!$D$15</f>
        <v>3915</v>
      </c>
      <c r="K23" s="119" t="s">
        <v>476</v>
      </c>
      <c r="L23" s="236"/>
      <c r="M23" s="239"/>
    </row>
    <row r="24" spans="1:29" ht="15.6" x14ac:dyDescent="0.3">
      <c r="B24" s="251"/>
      <c r="C24" s="240" t="s">
        <v>54</v>
      </c>
      <c r="D24" s="241"/>
      <c r="E24" s="241"/>
      <c r="F24" s="242">
        <f>SUM(F16:F23)</f>
        <v>9602.16</v>
      </c>
      <c r="G24" s="243" t="s">
        <v>57</v>
      </c>
      <c r="H24" s="504">
        <f>SUM(H16:H23)</f>
        <v>0.27434742857142858</v>
      </c>
      <c r="I24" s="243" t="s">
        <v>206</v>
      </c>
      <c r="J24" s="242">
        <f>SUM(J16:J23)</f>
        <v>48010.8</v>
      </c>
      <c r="K24" s="243" t="s">
        <v>476</v>
      </c>
      <c r="L24" s="241"/>
      <c r="M24" s="252"/>
      <c r="N24" s="69"/>
      <c r="O24" s="69"/>
      <c r="P24" s="69"/>
      <c r="Q24" s="69"/>
      <c r="R24" s="69"/>
      <c r="S24" s="69"/>
      <c r="T24" s="69"/>
      <c r="U24" s="69"/>
    </row>
    <row r="25" spans="1:29" s="56" customFormat="1" ht="17.399999999999999" x14ac:dyDescent="0.3">
      <c r="A25" s="306"/>
      <c r="B25" s="231"/>
      <c r="C25" s="245"/>
      <c r="D25" s="246"/>
      <c r="E25" s="246"/>
      <c r="F25" s="247"/>
      <c r="G25" s="119"/>
      <c r="H25" s="246"/>
      <c r="I25" s="246"/>
      <c r="J25" s="246"/>
      <c r="K25" s="246"/>
      <c r="L25" s="246"/>
      <c r="M25" s="226"/>
      <c r="N25" s="69"/>
      <c r="O25" s="69"/>
      <c r="P25" s="69"/>
      <c r="R25" s="69"/>
      <c r="S25" s="69"/>
      <c r="T25" s="69"/>
      <c r="U25" s="69"/>
      <c r="AB25" s="449" t="s">
        <v>478</v>
      </c>
      <c r="AC25" s="561">
        <f>F16</f>
        <v>1900</v>
      </c>
    </row>
    <row r="26" spans="1:29" s="69" customFormat="1" ht="17.399999999999999" x14ac:dyDescent="0.3">
      <c r="A26" s="307"/>
      <c r="B26" s="1089" t="s">
        <v>479</v>
      </c>
      <c r="C26" s="1090"/>
      <c r="D26" s="1090"/>
      <c r="E26" s="1090"/>
      <c r="F26" s="263">
        <f>IF('Gårdens info'!D15&gt;0,J26/'Gårdens info'!D15,0)</f>
        <v>238.2978723404255</v>
      </c>
      <c r="G26" s="243" t="s">
        <v>57</v>
      </c>
      <c r="H26" s="506">
        <f>IF('Gårdens info'!G15&gt;0,F26/'Gårdens info'!G15,0)</f>
        <v>6.8085106382978714E-3</v>
      </c>
      <c r="I26" s="243" t="s">
        <v>206</v>
      </c>
      <c r="J26" s="258">
        <f>'Gårdens info'!G163/'Gårdens info'!D43*'Gårdens info'!D15</f>
        <v>1191.4893617021276</v>
      </c>
      <c r="K26" s="243" t="s">
        <v>476</v>
      </c>
      <c r="L26" s="265"/>
      <c r="M26" s="259"/>
      <c r="N26"/>
      <c r="O26"/>
      <c r="P26"/>
      <c r="S26"/>
      <c r="T26"/>
      <c r="U26"/>
      <c r="AB26" s="382" t="str">
        <f t="shared" ref="AB26:AB32" si="2">C17</f>
        <v>Gödsel och kalk</v>
      </c>
      <c r="AC26" s="561">
        <f t="shared" ref="AC26:AC32" si="3">F17</f>
        <v>1288</v>
      </c>
    </row>
    <row r="27" spans="1:29" s="69" customFormat="1" ht="17.399999999999999" x14ac:dyDescent="0.3">
      <c r="A27" s="307"/>
      <c r="B27" s="1091" t="s">
        <v>492</v>
      </c>
      <c r="C27" s="1092"/>
      <c r="D27" s="1092"/>
      <c r="E27" s="1092"/>
      <c r="F27" s="263">
        <f>IF('Gårdens info'!D15&gt;0,J27/'Gårdens info'!D15,0)</f>
        <v>187.2340425531915</v>
      </c>
      <c r="G27" s="243" t="s">
        <v>57</v>
      </c>
      <c r="H27" s="506">
        <f>IF('Gårdens info'!G15&gt;0,F27/'Gårdens info'!G15,0)</f>
        <v>5.3495440729483283E-3</v>
      </c>
      <c r="I27" s="243" t="s">
        <v>206</v>
      </c>
      <c r="J27" s="258">
        <f>'Gårdens info'!$D$48/'Gårdens info'!$D$49*'Gårdens info'!$G$48*'Gårdens info'!D15</f>
        <v>936.17021276595756</v>
      </c>
      <c r="K27" s="243" t="s">
        <v>476</v>
      </c>
      <c r="L27" s="265"/>
      <c r="M27" s="259"/>
      <c r="N27" s="56"/>
      <c r="O27" s="56"/>
      <c r="P27" s="56"/>
      <c r="S27" s="56"/>
      <c r="T27" s="56"/>
      <c r="U27" s="56"/>
      <c r="AB27" s="382" t="str">
        <f t="shared" si="2"/>
        <v>IPM Växtskydd</v>
      </c>
      <c r="AC27" s="561">
        <f t="shared" si="3"/>
        <v>884</v>
      </c>
    </row>
    <row r="28" spans="1:29" s="69" customFormat="1" ht="21" x14ac:dyDescent="0.4">
      <c r="A28" s="307"/>
      <c r="B28" s="1061" t="s">
        <v>189</v>
      </c>
      <c r="C28" s="1043"/>
      <c r="D28" s="1043"/>
      <c r="E28" s="262"/>
      <c r="F28" s="266">
        <f>F24+F26+F27</f>
        <v>10027.691914893616</v>
      </c>
      <c r="G28" s="267" t="s">
        <v>57</v>
      </c>
      <c r="H28" s="507">
        <f>H24+H26+H27</f>
        <v>0.28650548328267478</v>
      </c>
      <c r="I28" s="267" t="s">
        <v>206</v>
      </c>
      <c r="J28" s="269">
        <f>J24+J26+J27</f>
        <v>50138.459574468092</v>
      </c>
      <c r="K28" s="267" t="s">
        <v>476</v>
      </c>
      <c r="L28" s="267"/>
      <c r="M28" s="259"/>
      <c r="AB28" s="382" t="str">
        <f t="shared" si="2"/>
        <v>Packningsmaterial</v>
      </c>
      <c r="AC28" s="561">
        <f t="shared" si="3"/>
        <v>1200</v>
      </c>
    </row>
    <row r="29" spans="1:29" s="69" customFormat="1" ht="21" x14ac:dyDescent="0.4">
      <c r="A29" s="307"/>
      <c r="B29" s="288"/>
      <c r="C29" s="270"/>
      <c r="D29" s="270"/>
      <c r="E29" s="262"/>
      <c r="F29" s="266"/>
      <c r="G29" s="267"/>
      <c r="H29" s="268"/>
      <c r="I29" s="267"/>
      <c r="J29" s="269"/>
      <c r="K29" s="267"/>
      <c r="L29" s="267"/>
      <c r="M29" s="259"/>
      <c r="AB29" s="382" t="str">
        <f t="shared" si="2"/>
        <v>Fraktkostnader</v>
      </c>
      <c r="AC29" s="561">
        <f t="shared" si="3"/>
        <v>1280</v>
      </c>
    </row>
    <row r="30" spans="1:29" s="69" customFormat="1" ht="21" x14ac:dyDescent="0.4">
      <c r="A30" s="307"/>
      <c r="B30" s="257" t="s">
        <v>493</v>
      </c>
      <c r="C30" s="225"/>
      <c r="D30" s="116"/>
      <c r="E30" s="116"/>
      <c r="F30" s="116"/>
      <c r="G30" s="116"/>
      <c r="H30" s="116"/>
      <c r="I30" s="116"/>
      <c r="J30" s="232"/>
      <c r="K30" s="116"/>
      <c r="L30" s="116"/>
      <c r="M30" s="226"/>
      <c r="AB30" s="382" t="str">
        <f t="shared" si="2"/>
        <v>Maskinkostnader och entreprenad</v>
      </c>
      <c r="AC30" s="561">
        <f t="shared" si="3"/>
        <v>0</v>
      </c>
    </row>
    <row r="31" spans="1:29" s="69" customFormat="1" ht="21" x14ac:dyDescent="0.4">
      <c r="A31" s="307"/>
      <c r="B31" s="1081" t="s">
        <v>69</v>
      </c>
      <c r="C31" s="1082"/>
      <c r="D31" s="270"/>
      <c r="E31" s="262"/>
      <c r="F31" s="266"/>
      <c r="G31" s="267"/>
      <c r="H31" s="268"/>
      <c r="I31" s="267"/>
      <c r="J31" s="269"/>
      <c r="K31" s="267"/>
      <c r="L31" s="267"/>
      <c r="M31" s="259"/>
      <c r="AB31" s="382" t="str">
        <f t="shared" si="2"/>
        <v>Energikostnader</v>
      </c>
      <c r="AC31" s="561">
        <f t="shared" si="3"/>
        <v>2267.16</v>
      </c>
    </row>
    <row r="32" spans="1:29" s="69" customFormat="1" ht="21" x14ac:dyDescent="0.4">
      <c r="A32" s="307"/>
      <c r="B32" s="287"/>
      <c r="C32" s="941" t="s">
        <v>229</v>
      </c>
      <c r="D32" s="942"/>
      <c r="E32" s="262"/>
      <c r="F32" s="276">
        <f>IF('Gårdens info'!$D$15&gt;0,J32/'Gårdens info'!$D$15,0)</f>
        <v>503.98751334921542</v>
      </c>
      <c r="G32" s="119" t="s">
        <v>57</v>
      </c>
      <c r="H32" s="502">
        <f>IF('Gårdens info'!$G$15&gt;0,F32/'Gårdens info'!$G$15,0)</f>
        <v>1.4399643238549012E-2</v>
      </c>
      <c r="I32" s="119" t="s">
        <v>206</v>
      </c>
      <c r="J32" s="237">
        <f>Egendom!AN25</f>
        <v>2519.9375667460772</v>
      </c>
      <c r="K32" s="119" t="s">
        <v>476</v>
      </c>
      <c r="L32" s="267"/>
      <c r="M32" s="259"/>
      <c r="AB32" s="382" t="str">
        <f t="shared" si="2"/>
        <v>Anställd arbetskraft</v>
      </c>
      <c r="AC32" s="561">
        <f t="shared" si="3"/>
        <v>783</v>
      </c>
    </row>
    <row r="33" spans="1:29" s="192" customFormat="1" ht="21" x14ac:dyDescent="0.4">
      <c r="A33" s="308"/>
      <c r="B33" s="287"/>
      <c r="C33" s="941" t="s">
        <v>230</v>
      </c>
      <c r="D33" s="942"/>
      <c r="E33" s="262"/>
      <c r="F33" s="276">
        <f>IF('Gårdens info'!$D$15&gt;0,J33/'Gårdens info'!$D$15,0)</f>
        <v>314.99219584325965</v>
      </c>
      <c r="G33" s="119" t="s">
        <v>57</v>
      </c>
      <c r="H33" s="502">
        <f>IF('Gårdens info'!$G$15&gt;0,F33/'Gårdens info'!$G$15,0)</f>
        <v>8.9997770240931325E-3</v>
      </c>
      <c r="I33" s="119" t="s">
        <v>206</v>
      </c>
      <c r="J33" s="237">
        <f>Egendom!BL25</f>
        <v>1574.9609792162983</v>
      </c>
      <c r="K33" s="119" t="s">
        <v>476</v>
      </c>
      <c r="L33" s="267"/>
      <c r="M33" s="259"/>
      <c r="N33" s="69"/>
      <c r="O33" s="69"/>
      <c r="P33" s="69"/>
      <c r="S33" s="69"/>
      <c r="T33" s="69"/>
      <c r="U33" s="69"/>
      <c r="AB33" s="384" t="s">
        <v>464</v>
      </c>
      <c r="AC33" s="384">
        <f>F26</f>
        <v>238.2978723404255</v>
      </c>
    </row>
    <row r="34" spans="1:29" ht="17.399999999999999" customHeight="1" x14ac:dyDescent="0.3">
      <c r="B34" s="287"/>
      <c r="C34" s="1108" t="s">
        <v>232</v>
      </c>
      <c r="D34" s="1108"/>
      <c r="E34" s="262"/>
      <c r="F34" s="276">
        <f>IF('Gårdens info'!$D$15&gt;0,J34/'Gårdens info'!$D$15,0)</f>
        <v>125.99687833730385</v>
      </c>
      <c r="G34" s="119" t="s">
        <v>57</v>
      </c>
      <c r="H34" s="502">
        <f>IF('Gårdens info'!$G$15&gt;0,F34/'Gårdens info'!$G$15,0)</f>
        <v>3.5999108096372531E-3</v>
      </c>
      <c r="I34" s="119" t="s">
        <v>206</v>
      </c>
      <c r="J34" s="237">
        <f>Egendom!CJ25</f>
        <v>629.9843916865193</v>
      </c>
      <c r="K34" s="119" t="s">
        <v>476</v>
      </c>
      <c r="L34" s="267"/>
      <c r="M34" s="259"/>
      <c r="N34" s="69"/>
      <c r="O34" s="69"/>
      <c r="P34" s="69"/>
      <c r="S34" s="69"/>
      <c r="T34" s="69"/>
      <c r="U34" s="69"/>
      <c r="AB34" s="382" t="s">
        <v>465</v>
      </c>
      <c r="AC34" s="384">
        <f>F27</f>
        <v>187.2340425531915</v>
      </c>
    </row>
    <row r="35" spans="1:29" ht="21" x14ac:dyDescent="0.4">
      <c r="B35" s="287"/>
      <c r="C35" s="941" t="s">
        <v>483</v>
      </c>
      <c r="D35" s="942"/>
      <c r="E35" s="262"/>
      <c r="F35" s="276">
        <f>IF('Gårdens info'!$D$15&gt;0,J35/'Gårdens info'!$D$15,0)</f>
        <v>25.199375667460771</v>
      </c>
      <c r="G35" s="119" t="s">
        <v>57</v>
      </c>
      <c r="H35" s="502">
        <f>IF('Gårdens info'!$G$15&gt;0,F35/'Gårdens info'!$G$15,0)</f>
        <v>7.1998216192745059E-4</v>
      </c>
      <c r="I35" s="119" t="s">
        <v>206</v>
      </c>
      <c r="J35" s="237">
        <f>Egendom!DH25</f>
        <v>125.99687833730385</v>
      </c>
      <c r="K35" s="119" t="s">
        <v>476</v>
      </c>
      <c r="L35" s="267"/>
      <c r="M35" s="259"/>
      <c r="N35" s="192"/>
      <c r="O35" s="192"/>
      <c r="P35" s="192"/>
      <c r="S35" s="192"/>
      <c r="T35" s="192"/>
      <c r="U35" s="192"/>
      <c r="AB35" s="382" t="s">
        <v>466</v>
      </c>
      <c r="AC35" s="385">
        <f>F36</f>
        <v>970.17596319723975</v>
      </c>
    </row>
    <row r="36" spans="1:29" ht="20.399999999999999" x14ac:dyDescent="0.35">
      <c r="B36" s="289"/>
      <c r="C36" s="943" t="s">
        <v>54</v>
      </c>
      <c r="D36" s="944"/>
      <c r="E36" s="262"/>
      <c r="F36" s="280">
        <f>SUM(F32:F35)</f>
        <v>970.17596319723975</v>
      </c>
      <c r="G36" s="119" t="s">
        <v>57</v>
      </c>
      <c r="H36" s="509">
        <f t="shared" ref="H36:J36" si="4">SUM(H32:H35)</f>
        <v>2.7719313234206851E-2</v>
      </c>
      <c r="I36" s="119" t="s">
        <v>206</v>
      </c>
      <c r="J36" s="280">
        <f t="shared" si="4"/>
        <v>4850.879815986199</v>
      </c>
      <c r="K36" s="119" t="s">
        <v>476</v>
      </c>
      <c r="L36" s="281"/>
      <c r="M36" s="259"/>
      <c r="AB36" s="382" t="s">
        <v>467</v>
      </c>
      <c r="AC36" s="386">
        <f>F43</f>
        <v>580.50411347517729</v>
      </c>
    </row>
    <row r="37" spans="1:29" s="69" customFormat="1" ht="21" x14ac:dyDescent="0.4">
      <c r="A37" s="307"/>
      <c r="B37" s="287"/>
      <c r="C37" s="274"/>
      <c r="D37" s="270"/>
      <c r="E37" s="262"/>
      <c r="F37" s="276"/>
      <c r="G37" s="119"/>
      <c r="H37" s="277"/>
      <c r="I37" s="119"/>
      <c r="J37" s="237"/>
      <c r="K37" s="119"/>
      <c r="L37" s="267"/>
      <c r="M37" s="259"/>
      <c r="N37"/>
      <c r="O37"/>
      <c r="P37"/>
      <c r="S37"/>
      <c r="T37"/>
      <c r="U37"/>
      <c r="AB37" s="382" t="s">
        <v>468</v>
      </c>
      <c r="AC37" s="386">
        <f>F50</f>
        <v>38.443675675675678</v>
      </c>
    </row>
    <row r="38" spans="1:29" s="69" customFormat="1" ht="17.399999999999999" x14ac:dyDescent="0.3">
      <c r="A38" s="307"/>
      <c r="B38" s="1081" t="s">
        <v>83</v>
      </c>
      <c r="C38" s="1082"/>
      <c r="D38" s="1082"/>
      <c r="E38" s="262"/>
      <c r="F38" s="276"/>
      <c r="G38" s="119"/>
      <c r="H38" s="277"/>
      <c r="I38" s="119"/>
      <c r="J38" s="237"/>
      <c r="K38" s="119"/>
      <c r="L38" s="267"/>
      <c r="M38" s="259"/>
      <c r="N38"/>
      <c r="O38"/>
      <c r="P38"/>
      <c r="S38"/>
      <c r="T38"/>
      <c r="U38"/>
      <c r="AB38" s="382" t="s">
        <v>469</v>
      </c>
      <c r="AC38" s="386">
        <f>F56</f>
        <v>5.1063829787234045</v>
      </c>
    </row>
    <row r="39" spans="1:29" s="69" customFormat="1" ht="21" x14ac:dyDescent="0.4">
      <c r="A39" s="307"/>
      <c r="B39" s="287"/>
      <c r="C39" s="941" t="s">
        <v>229</v>
      </c>
      <c r="D39" s="942"/>
      <c r="E39" s="262"/>
      <c r="F39" s="276">
        <f>IF('Gårdens info'!$D$15&gt;0,J39/'Gårdens info'!$D$15,0)</f>
        <v>312.94022289766974</v>
      </c>
      <c r="G39" s="119" t="s">
        <v>57</v>
      </c>
      <c r="H39" s="502">
        <f>IF('Gårdens info'!$G$15&gt;0,F39/'Gårdens info'!$G$15,0)</f>
        <v>8.941149225647706E-3</v>
      </c>
      <c r="I39" s="119" t="s">
        <v>206</v>
      </c>
      <c r="J39" s="237">
        <f>Egendom!AN61</f>
        <v>1564.7011144883486</v>
      </c>
      <c r="K39" s="119" t="s">
        <v>476</v>
      </c>
      <c r="L39" s="267"/>
      <c r="M39" s="259"/>
      <c r="AB39" s="382" t="s">
        <v>470</v>
      </c>
      <c r="AC39" s="384">
        <f>F62</f>
        <v>1479</v>
      </c>
    </row>
    <row r="40" spans="1:29" s="5" customFormat="1" ht="21" x14ac:dyDescent="0.4">
      <c r="A40" s="305"/>
      <c r="B40" s="287"/>
      <c r="C40" s="941" t="s">
        <v>230</v>
      </c>
      <c r="D40" s="942"/>
      <c r="E40" s="262"/>
      <c r="F40" s="276">
        <f>IF('Gårdens info'!$D$15&gt;0,J40/'Gårdens info'!$D$15,0)</f>
        <v>117.35258358662615</v>
      </c>
      <c r="G40" s="119" t="s">
        <v>57</v>
      </c>
      <c r="H40" s="502">
        <f>IF('Gårdens info'!$G$15&gt;0,F40/'Gårdens info'!$G$15,0)</f>
        <v>3.35293095961789E-3</v>
      </c>
      <c r="I40" s="119" t="s">
        <v>206</v>
      </c>
      <c r="J40" s="237">
        <f>Egendom!BL61</f>
        <v>586.76291793313078</v>
      </c>
      <c r="K40" s="119" t="s">
        <v>476</v>
      </c>
      <c r="L40" s="267"/>
      <c r="M40" s="259"/>
      <c r="N40" s="69"/>
      <c r="O40" s="69"/>
      <c r="P40" s="69"/>
      <c r="Q40" s="69"/>
      <c r="R40" s="69"/>
      <c r="S40" s="69"/>
      <c r="T40" s="69"/>
      <c r="U40" s="69"/>
    </row>
    <row r="41" spans="1:29" s="5" customFormat="1" ht="17.399999999999999" customHeight="1" x14ac:dyDescent="0.3">
      <c r="A41" s="305"/>
      <c r="B41" s="287"/>
      <c r="C41" s="1108" t="s">
        <v>232</v>
      </c>
      <c r="D41" s="1108"/>
      <c r="E41" s="262"/>
      <c r="F41" s="276">
        <f>IF('Gårdens info'!$D$15&gt;0,J41/'Gårdens info'!$D$15,0)</f>
        <v>140.82310030395135</v>
      </c>
      <c r="G41" s="119" t="s">
        <v>57</v>
      </c>
      <c r="H41" s="502">
        <f>IF('Gårdens info'!$G$15&gt;0,F41/'Gårdens info'!$G$15,0)</f>
        <v>4.0235171515414668E-3</v>
      </c>
      <c r="I41" s="119" t="s">
        <v>206</v>
      </c>
      <c r="J41" s="237">
        <f>Egendom!CJ61</f>
        <v>704.11550151975678</v>
      </c>
      <c r="K41" s="119" t="s">
        <v>476</v>
      </c>
      <c r="L41" s="267"/>
      <c r="M41" s="259"/>
      <c r="N41" s="69"/>
      <c r="O41" s="69"/>
      <c r="P41" s="69"/>
      <c r="Q41" s="69"/>
      <c r="R41" s="69"/>
      <c r="S41" s="69"/>
      <c r="T41" s="69"/>
      <c r="U41" s="69"/>
    </row>
    <row r="42" spans="1:29" s="5" customFormat="1" ht="21" x14ac:dyDescent="0.4">
      <c r="A42" s="305"/>
      <c r="B42" s="287"/>
      <c r="C42" s="941" t="s">
        <v>483</v>
      </c>
      <c r="D42" s="942"/>
      <c r="E42" s="262"/>
      <c r="F42" s="276">
        <f>IF('Gårdens info'!$D$15&gt;0,J42/'Gårdens info'!$D$15,0)</f>
        <v>9.38820668693009</v>
      </c>
      <c r="G42" s="119" t="s">
        <v>57</v>
      </c>
      <c r="H42" s="502">
        <f>IF('Gårdens info'!$G$15&gt;0,F42/'Gårdens info'!$G$15,0)</f>
        <v>2.6823447676943113E-4</v>
      </c>
      <c r="I42" s="119" t="s">
        <v>206</v>
      </c>
      <c r="J42" s="237">
        <f>Egendom!DH61</f>
        <v>46.94103343465045</v>
      </c>
      <c r="K42" s="119" t="s">
        <v>476</v>
      </c>
      <c r="L42" s="267"/>
      <c r="M42" s="259"/>
    </row>
    <row r="43" spans="1:29" s="5" customFormat="1" ht="20.399999999999999" x14ac:dyDescent="0.35">
      <c r="A43" s="305"/>
      <c r="B43" s="289"/>
      <c r="C43" s="943" t="s">
        <v>54</v>
      </c>
      <c r="D43" s="944"/>
      <c r="E43" s="262"/>
      <c r="F43" s="280">
        <f>SUM(F39:F42)</f>
        <v>580.50411347517729</v>
      </c>
      <c r="G43" s="119" t="s">
        <v>57</v>
      </c>
      <c r="H43" s="509">
        <f t="shared" ref="H43:J43" si="5">SUM(H39:H42)</f>
        <v>1.6585831813576497E-2</v>
      </c>
      <c r="I43" s="119" t="s">
        <v>206</v>
      </c>
      <c r="J43" s="280">
        <f t="shared" si="5"/>
        <v>2902.5205673758865</v>
      </c>
      <c r="K43" s="119" t="s">
        <v>476</v>
      </c>
      <c r="L43" s="281"/>
      <c r="M43" s="259"/>
    </row>
    <row r="44" spans="1:29" s="5" customFormat="1" ht="21" x14ac:dyDescent="0.4">
      <c r="A44" s="305"/>
      <c r="B44" s="287"/>
      <c r="C44" s="274"/>
      <c r="D44" s="270"/>
      <c r="E44" s="262"/>
      <c r="F44" s="276"/>
      <c r="G44" s="119"/>
      <c r="H44" s="277"/>
      <c r="I44" s="119"/>
      <c r="J44" s="237"/>
      <c r="K44" s="119"/>
      <c r="L44" s="267"/>
      <c r="M44" s="259"/>
    </row>
    <row r="45" spans="1:29" s="5" customFormat="1" ht="43.2" customHeight="1" x14ac:dyDescent="0.3">
      <c r="A45" s="305"/>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info'!$D$15&gt;0,J46/'Gårdens info'!$D$15,0)</f>
        <v>24.691891891891892</v>
      </c>
      <c r="G46" s="119" t="s">
        <v>57</v>
      </c>
      <c r="H46" s="502">
        <f>IF('Gårdens info'!$G$15&gt;0,F46/'Gårdens info'!$G$15,0)</f>
        <v>7.0548262548262544E-4</v>
      </c>
      <c r="I46" s="119" t="s">
        <v>206</v>
      </c>
      <c r="J46" s="237">
        <f>Egendom!AN90</f>
        <v>123.45945945945947</v>
      </c>
      <c r="K46" s="119" t="s">
        <v>476</v>
      </c>
      <c r="L46" s="267"/>
      <c r="M46" s="259"/>
      <c r="N46" s="5"/>
      <c r="O46" s="5"/>
      <c r="P46" s="5"/>
      <c r="Q46" s="5"/>
      <c r="R46" s="5"/>
      <c r="S46" s="5"/>
      <c r="T46" s="5"/>
      <c r="U46" s="5"/>
    </row>
    <row r="47" spans="1:29" s="5" customFormat="1" ht="21" x14ac:dyDescent="0.4">
      <c r="A47" s="305"/>
      <c r="B47" s="287"/>
      <c r="C47" s="941" t="s">
        <v>230</v>
      </c>
      <c r="D47" s="942"/>
      <c r="E47" s="262"/>
      <c r="F47" s="276">
        <f>IF('Gårdens info'!$D$15&gt;0,J47/'Gårdens info'!$D$15,0)</f>
        <v>4.4648648648648654</v>
      </c>
      <c r="G47" s="119" t="s">
        <v>57</v>
      </c>
      <c r="H47" s="502">
        <f>IF('Gårdens info'!$G$15&gt;0,F47/'Gårdens info'!$G$15,0)</f>
        <v>1.2756756756756758E-4</v>
      </c>
      <c r="I47" s="119" t="s">
        <v>206</v>
      </c>
      <c r="J47" s="237">
        <f>Egendom!BL90</f>
        <v>22.324324324324326</v>
      </c>
      <c r="K47" s="119" t="s">
        <v>476</v>
      </c>
      <c r="L47" s="267"/>
      <c r="M47" s="259"/>
    </row>
    <row r="48" spans="1:29" s="5" customFormat="1" ht="17.399999999999999" customHeight="1" x14ac:dyDescent="0.3">
      <c r="A48" s="305"/>
      <c r="B48" s="287"/>
      <c r="C48" s="1108" t="s">
        <v>232</v>
      </c>
      <c r="D48" s="1108"/>
      <c r="E48" s="262"/>
      <c r="F48" s="276">
        <f>IF('Gårdens info'!$D$15&gt;0,J48/'Gårdens info'!$D$15,0)</f>
        <v>8.9297297297297309</v>
      </c>
      <c r="G48" s="119" t="s">
        <v>57</v>
      </c>
      <c r="H48" s="502">
        <f>IF('Gårdens info'!$G$15&gt;0,F48/'Gårdens info'!$G$15,0)</f>
        <v>2.5513513513513515E-4</v>
      </c>
      <c r="I48" s="119" t="s">
        <v>206</v>
      </c>
      <c r="J48" s="237">
        <f>Egendom!CJ90</f>
        <v>44.648648648648653</v>
      </c>
      <c r="K48" s="119" t="s">
        <v>476</v>
      </c>
      <c r="L48" s="267"/>
      <c r="M48" s="259"/>
      <c r="N48"/>
      <c r="O48"/>
      <c r="P48"/>
      <c r="Q48"/>
      <c r="R48"/>
      <c r="S48"/>
      <c r="T48"/>
      <c r="U48"/>
    </row>
    <row r="49" spans="1:13" s="5" customFormat="1" ht="21" x14ac:dyDescent="0.4">
      <c r="A49" s="305"/>
      <c r="B49" s="287"/>
      <c r="C49" s="941" t="s">
        <v>483</v>
      </c>
      <c r="D49" s="942"/>
      <c r="E49" s="262"/>
      <c r="F49" s="276">
        <f>IF('Gårdens info'!$D$15&gt;0,J49/'Gårdens info'!$D$15,0)</f>
        <v>0.35718918918918929</v>
      </c>
      <c r="G49" s="119" t="s">
        <v>57</v>
      </c>
      <c r="H49" s="502">
        <f>IF('Gårdens info'!$G$15&gt;0,F49/'Gårdens info'!$G$15,0)</f>
        <v>1.0205405405405409E-5</v>
      </c>
      <c r="I49" s="119" t="s">
        <v>206</v>
      </c>
      <c r="J49" s="237">
        <f>Egendom!DH90</f>
        <v>1.7859459459459464</v>
      </c>
      <c r="K49" s="119" t="s">
        <v>476</v>
      </c>
      <c r="L49" s="267"/>
      <c r="M49" s="259"/>
    </row>
    <row r="50" spans="1:13" s="5" customFormat="1" ht="20.399999999999999" x14ac:dyDescent="0.35">
      <c r="A50" s="305"/>
      <c r="B50" s="289"/>
      <c r="C50" s="943" t="s">
        <v>54</v>
      </c>
      <c r="D50" s="944"/>
      <c r="E50" s="262"/>
      <c r="F50" s="280">
        <f>SUM(F46:F49)</f>
        <v>38.443675675675678</v>
      </c>
      <c r="G50" s="119" t="s">
        <v>57</v>
      </c>
      <c r="H50" s="509">
        <f t="shared" ref="H50:J50" si="6">SUM(H46:H49)</f>
        <v>1.0983907335907334E-3</v>
      </c>
      <c r="I50" s="119" t="s">
        <v>206</v>
      </c>
      <c r="J50" s="280">
        <f t="shared" si="6"/>
        <v>192.21837837837839</v>
      </c>
      <c r="K50" s="119" t="s">
        <v>476</v>
      </c>
      <c r="L50" s="281"/>
      <c r="M50" s="259"/>
    </row>
    <row r="51" spans="1:13" s="5" customFormat="1" ht="21" x14ac:dyDescent="0.4">
      <c r="A51" s="305"/>
      <c r="B51" s="287"/>
      <c r="C51" s="274"/>
      <c r="D51" s="270"/>
      <c r="E51" s="262"/>
      <c r="F51" s="276"/>
      <c r="G51" s="119"/>
      <c r="H51" s="277"/>
      <c r="I51" s="119"/>
      <c r="J51" s="237"/>
      <c r="K51" s="119"/>
      <c r="L51" s="267"/>
      <c r="M51" s="259"/>
    </row>
    <row r="52" spans="1:13" s="5" customFormat="1" ht="21" x14ac:dyDescent="0.4">
      <c r="A52" s="305"/>
      <c r="B52" s="1084" t="s">
        <v>139</v>
      </c>
      <c r="C52" s="1085"/>
      <c r="D52" s="270"/>
      <c r="E52" s="262"/>
      <c r="F52" s="276"/>
      <c r="G52" s="119"/>
      <c r="H52" s="277"/>
      <c r="I52" s="119"/>
      <c r="J52" s="237"/>
      <c r="K52" s="119"/>
      <c r="L52" s="267"/>
      <c r="M52" s="259"/>
    </row>
    <row r="53" spans="1:13" s="5" customFormat="1" ht="21" x14ac:dyDescent="0.4">
      <c r="A53" s="305"/>
      <c r="B53" s="287"/>
      <c r="C53" s="941" t="s">
        <v>229</v>
      </c>
      <c r="D53" s="942"/>
      <c r="E53" s="262"/>
      <c r="F53" s="276">
        <f>IF('Gårdens info'!$D$15&gt;0,J53/'Gårdens info'!$D$15,0)</f>
        <v>0</v>
      </c>
      <c r="G53" s="119" t="s">
        <v>57</v>
      </c>
      <c r="H53" s="502">
        <f>IF('Gårdens info'!$G$15&gt;0,F53/'Gårdens info'!$G$15,0)</f>
        <v>0</v>
      </c>
      <c r="I53" s="119" t="s">
        <v>206</v>
      </c>
      <c r="J53" s="237">
        <f>Egendom!AN93</f>
        <v>0</v>
      </c>
      <c r="K53" s="119" t="s">
        <v>476</v>
      </c>
      <c r="L53" s="267"/>
      <c r="M53" s="259"/>
    </row>
    <row r="54" spans="1:13" s="5" customFormat="1" ht="19.95" customHeight="1" x14ac:dyDescent="0.4">
      <c r="A54" s="305"/>
      <c r="B54" s="287"/>
      <c r="C54" s="941" t="s">
        <v>230</v>
      </c>
      <c r="D54" s="942"/>
      <c r="E54" s="262"/>
      <c r="F54" s="276">
        <f>IF('Gårdens info'!$D$15&gt;0,J54/'Gårdens info'!$D$15,0)</f>
        <v>0</v>
      </c>
      <c r="G54" s="119" t="s">
        <v>57</v>
      </c>
      <c r="H54" s="502">
        <f>IF('Gårdens info'!$G$15&gt;0,F54/'Gårdens info'!$G$15,0)</f>
        <v>0</v>
      </c>
      <c r="I54" s="119" t="s">
        <v>206</v>
      </c>
      <c r="J54" s="237">
        <f>Egendom!BL93</f>
        <v>0</v>
      </c>
      <c r="K54" s="119" t="s">
        <v>476</v>
      </c>
      <c r="L54" s="267"/>
      <c r="M54" s="259"/>
    </row>
    <row r="55" spans="1:13" s="5" customFormat="1" ht="17.399999999999999" customHeight="1" x14ac:dyDescent="0.3">
      <c r="A55" s="305"/>
      <c r="B55" s="287"/>
      <c r="C55" s="1108" t="s">
        <v>232</v>
      </c>
      <c r="D55" s="1108"/>
      <c r="E55" s="262"/>
      <c r="F55" s="276">
        <f>IF('Gårdens info'!$D$15&gt;0,J55/'Gårdens info'!$D$15,0)</f>
        <v>5.1063829787234045</v>
      </c>
      <c r="G55" s="119" t="s">
        <v>57</v>
      </c>
      <c r="H55" s="502">
        <f>IF('Gårdens info'!$G$15&gt;0,F55/'Gårdens info'!$G$15,0)</f>
        <v>1.4589665653495443E-4</v>
      </c>
      <c r="I55" s="119" t="s">
        <v>206</v>
      </c>
      <c r="J55" s="237">
        <f>Egendom!CJ93</f>
        <v>25.531914893617021</v>
      </c>
      <c r="K55" s="119" t="s">
        <v>476</v>
      </c>
      <c r="L55" s="267"/>
      <c r="M55" s="259"/>
    </row>
    <row r="56" spans="1:13" s="5" customFormat="1" ht="15.6" x14ac:dyDescent="0.3">
      <c r="A56" s="305"/>
      <c r="B56" s="286"/>
      <c r="C56" s="261" t="s">
        <v>54</v>
      </c>
      <c r="D56" s="261"/>
      <c r="E56" s="261"/>
      <c r="F56" s="280">
        <f>SUM(F53:F55)</f>
        <v>5.1063829787234045</v>
      </c>
      <c r="G56" s="119" t="s">
        <v>57</v>
      </c>
      <c r="H56" s="509">
        <f t="shared" ref="H56:J56" si="7">SUM(H53:H55)</f>
        <v>1.4589665653495443E-4</v>
      </c>
      <c r="I56" s="119" t="s">
        <v>206</v>
      </c>
      <c r="J56" s="280">
        <f t="shared" si="7"/>
        <v>25.531914893617021</v>
      </c>
      <c r="K56" s="119" t="s">
        <v>476</v>
      </c>
      <c r="L56" s="284"/>
      <c r="M56" s="290"/>
    </row>
    <row r="57" spans="1:13" s="5" customFormat="1" ht="21" x14ac:dyDescent="0.4">
      <c r="A57" s="305"/>
      <c r="B57" s="1061" t="s">
        <v>191</v>
      </c>
      <c r="C57" s="1043"/>
      <c r="D57" s="1043"/>
      <c r="E57" s="262"/>
      <c r="F57" s="266">
        <f>F36+F43+F50+F56</f>
        <v>1594.230135326816</v>
      </c>
      <c r="G57" s="267" t="s">
        <v>57</v>
      </c>
      <c r="H57" s="507">
        <f>H36+H43+H50+H56</f>
        <v>4.5549432437909043E-2</v>
      </c>
      <c r="I57" s="267" t="s">
        <v>206</v>
      </c>
      <c r="J57" s="269">
        <f>J36+J43+J50+J56</f>
        <v>7971.1506766340808</v>
      </c>
      <c r="K57" s="267" t="s">
        <v>476</v>
      </c>
      <c r="L57" s="267"/>
      <c r="M57" s="259"/>
    </row>
    <row r="58" spans="1:13" s="5" customFormat="1" ht="15.6" x14ac:dyDescent="0.3">
      <c r="A58" s="305"/>
      <c r="B58" s="286"/>
      <c r="C58" s="262"/>
      <c r="D58" s="262"/>
      <c r="E58" s="262"/>
      <c r="F58" s="263"/>
      <c r="G58" s="243"/>
      <c r="H58" s="264"/>
      <c r="I58" s="243"/>
      <c r="J58" s="258"/>
      <c r="K58" s="243"/>
      <c r="L58" s="265"/>
      <c r="M58" s="259"/>
    </row>
    <row r="59" spans="1:13" s="5" customFormat="1" ht="21" x14ac:dyDescent="0.4">
      <c r="A59" s="305"/>
      <c r="B59" s="257" t="s">
        <v>192</v>
      </c>
      <c r="C59" s="262"/>
      <c r="D59" s="262"/>
      <c r="E59" s="262"/>
      <c r="F59" s="263"/>
      <c r="G59" s="243"/>
      <c r="H59" s="264"/>
      <c r="I59" s="243"/>
      <c r="J59" s="258"/>
      <c r="K59" s="243"/>
      <c r="L59" s="265"/>
      <c r="M59" s="259"/>
    </row>
    <row r="60" spans="1:13" s="5" customFormat="1" ht="15" x14ac:dyDescent="0.25">
      <c r="A60" s="305"/>
      <c r="B60" s="235"/>
      <c r="C60" s="228" t="s">
        <v>192</v>
      </c>
      <c r="D60" s="236"/>
      <c r="E60" s="236"/>
      <c r="F60" s="237">
        <f>IF('Gårdens info'!D15&gt;0,H171,0)</f>
        <v>1479</v>
      </c>
      <c r="G60" s="119" t="s">
        <v>57</v>
      </c>
      <c r="H60" s="503">
        <f>IF('Gårdens info'!G15&gt;0,F60/'Gårdens info'!$G$15,0)</f>
        <v>4.2257142857142854E-2</v>
      </c>
      <c r="I60" s="119" t="s">
        <v>206</v>
      </c>
      <c r="J60" s="237">
        <f>F60*'Gårdens info'!D15</f>
        <v>7395</v>
      </c>
      <c r="K60" s="119" t="s">
        <v>476</v>
      </c>
      <c r="L60" s="236"/>
      <c r="M60" s="239"/>
    </row>
    <row r="61" spans="1:13" s="5" customFormat="1" ht="17.399999999999999" x14ac:dyDescent="0.3">
      <c r="A61" s="305"/>
      <c r="B61" s="248"/>
      <c r="C61" s="245"/>
      <c r="D61" s="249"/>
      <c r="E61" s="249"/>
      <c r="F61" s="250"/>
      <c r="G61" s="120"/>
      <c r="H61" s="249"/>
      <c r="I61" s="249"/>
      <c r="J61" s="249"/>
      <c r="K61" s="249"/>
      <c r="L61" s="249"/>
      <c r="M61" s="234"/>
    </row>
    <row r="62" spans="1:13" s="5" customFormat="1" ht="21" x14ac:dyDescent="0.4">
      <c r="A62" s="305"/>
      <c r="B62" s="1061" t="s">
        <v>194</v>
      </c>
      <c r="C62" s="1043"/>
      <c r="D62" s="1043"/>
      <c r="E62" s="262"/>
      <c r="F62" s="266">
        <f>F60</f>
        <v>1479</v>
      </c>
      <c r="G62" s="267" t="s">
        <v>57</v>
      </c>
      <c r="H62" s="507">
        <f>H60</f>
        <v>4.2257142857142854E-2</v>
      </c>
      <c r="I62" s="267" t="s">
        <v>206</v>
      </c>
      <c r="J62" s="269">
        <f>J60</f>
        <v>7395</v>
      </c>
      <c r="K62" s="267" t="s">
        <v>476</v>
      </c>
      <c r="L62" s="267"/>
      <c r="M62" s="259"/>
    </row>
    <row r="63" spans="1:13" s="5" customFormat="1" ht="21" x14ac:dyDescent="0.4">
      <c r="A63" s="305"/>
      <c r="B63" s="288"/>
      <c r="C63" s="270"/>
      <c r="D63" s="270"/>
      <c r="E63" s="262"/>
      <c r="F63" s="266"/>
      <c r="G63" s="267"/>
      <c r="H63" s="507"/>
      <c r="I63" s="267"/>
      <c r="J63" s="269"/>
      <c r="K63" s="267"/>
      <c r="L63" s="267"/>
      <c r="M63" s="259"/>
    </row>
    <row r="64" spans="1:13" s="5" customFormat="1" ht="21" x14ac:dyDescent="0.4">
      <c r="A64" s="305"/>
      <c r="B64" s="1061" t="s">
        <v>195</v>
      </c>
      <c r="C64" s="1043"/>
      <c r="D64" s="1043"/>
      <c r="E64" s="262"/>
      <c r="F64" s="266">
        <f>F28+F57+F62</f>
        <v>13100.922050220432</v>
      </c>
      <c r="G64" s="267" t="s">
        <v>57</v>
      </c>
      <c r="H64" s="572">
        <f>H28+H57+H62</f>
        <v>0.37431205857772665</v>
      </c>
      <c r="I64" s="267" t="s">
        <v>206</v>
      </c>
      <c r="J64" s="266">
        <f>J28+J57+J62</f>
        <v>65504.610251102175</v>
      </c>
      <c r="K64" s="267" t="s">
        <v>476</v>
      </c>
      <c r="L64" s="267"/>
      <c r="M64" s="259"/>
    </row>
    <row r="65" spans="1:21" s="5" customFormat="1" ht="21" customHeight="1" x14ac:dyDescent="0.4">
      <c r="A65" s="305"/>
      <c r="B65" s="288"/>
      <c r="C65" s="270"/>
      <c r="D65" s="270"/>
      <c r="E65" s="262"/>
      <c r="F65" s="266"/>
      <c r="G65" s="267"/>
      <c r="H65" s="268"/>
      <c r="I65" s="267"/>
      <c r="J65" s="269"/>
      <c r="K65" s="267"/>
      <c r="L65" s="267"/>
      <c r="M65" s="259"/>
    </row>
    <row r="66" spans="1:21" s="5" customFormat="1" ht="21.6" thickBot="1" x14ac:dyDescent="0.45">
      <c r="A66" s="305"/>
      <c r="B66" s="1059" t="s">
        <v>198</v>
      </c>
      <c r="C66" s="1060"/>
      <c r="D66" s="1060"/>
      <c r="E66" s="253"/>
      <c r="F66" s="292">
        <f>F11-F28-F57-F62</f>
        <v>13476.177949779569</v>
      </c>
      <c r="G66" s="293" t="s">
        <v>57</v>
      </c>
      <c r="H66" s="510">
        <f>H11-H28-H57-H62</f>
        <v>0.38503365570798764</v>
      </c>
      <c r="I66" s="293" t="s">
        <v>206</v>
      </c>
      <c r="J66" s="292">
        <f>J11-J28-J57-J62</f>
        <v>67380.88974889784</v>
      </c>
      <c r="K66" s="293" t="s">
        <v>476</v>
      </c>
      <c r="L66" s="293"/>
      <c r="M66" s="254"/>
    </row>
    <row r="67" spans="1:21" s="5" customFormat="1" ht="21" x14ac:dyDescent="0.4">
      <c r="A67" s="305"/>
      <c r="B67" s="55"/>
      <c r="C67"/>
      <c r="D67"/>
      <c r="E67"/>
      <c r="F67"/>
      <c r="G67"/>
      <c r="H67"/>
      <c r="I67"/>
      <c r="J67"/>
      <c r="K67"/>
      <c r="L67"/>
      <c r="M67"/>
    </row>
    <row r="68" spans="1:21" s="194" customFormat="1" ht="16.2" thickBot="1" x14ac:dyDescent="0.35">
      <c r="A68" s="309"/>
      <c r="B68"/>
      <c r="C68"/>
      <c r="D68"/>
      <c r="E68"/>
      <c r="F68"/>
      <c r="G68"/>
      <c r="H68"/>
      <c r="I68"/>
      <c r="J68"/>
      <c r="K68"/>
      <c r="L68"/>
      <c r="M68"/>
      <c r="N68" s="5"/>
      <c r="O68" s="5"/>
      <c r="P68" s="5"/>
      <c r="Q68" s="5"/>
      <c r="R68" s="5"/>
      <c r="S68" s="5"/>
      <c r="T68" s="5"/>
      <c r="U68" s="5"/>
    </row>
    <row r="69" spans="1:21" s="5" customFormat="1" ht="21.6" thickBot="1" x14ac:dyDescent="0.45">
      <c r="A69" s="305"/>
      <c r="B69" s="1078" t="s">
        <v>240</v>
      </c>
      <c r="C69" s="1079"/>
      <c r="D69" s="1079"/>
      <c r="E69" s="1080"/>
      <c r="F69"/>
      <c r="G69"/>
      <c r="H69"/>
      <c r="I69"/>
      <c r="J69"/>
      <c r="K69"/>
      <c r="L69" s="1111" t="s">
        <v>241</v>
      </c>
      <c r="M69" s="1111"/>
    </row>
    <row r="70" spans="1:21" s="5" customFormat="1" ht="21" x14ac:dyDescent="0.4">
      <c r="A70" s="305"/>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218</v>
      </c>
      <c r="D73" s="46"/>
      <c r="E73" s="44"/>
      <c r="F73" s="74">
        <v>950000</v>
      </c>
      <c r="G73" s="44" t="s">
        <v>31</v>
      </c>
      <c r="H73" s="485">
        <v>2E-3</v>
      </c>
      <c r="I73" s="49" t="s">
        <v>246</v>
      </c>
      <c r="J73" s="191">
        <f>F73*H73</f>
        <v>1900</v>
      </c>
      <c r="K73" s="44" t="s">
        <v>57</v>
      </c>
      <c r="L73" s="44"/>
      <c r="M73" s="46"/>
    </row>
    <row r="74" spans="1:21" s="5" customFormat="1" x14ac:dyDescent="0.25">
      <c r="A74" s="305"/>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305"/>
      <c r="B76" s="96" t="s">
        <v>494</v>
      </c>
      <c r="C76" s="97"/>
      <c r="D76" s="97"/>
      <c r="E76" s="97"/>
      <c r="F76" s="1074" t="s">
        <v>114</v>
      </c>
      <c r="G76" s="1074"/>
      <c r="H76" s="1074" t="s">
        <v>113</v>
      </c>
      <c r="I76" s="1074"/>
      <c r="J76" s="1074" t="s">
        <v>243</v>
      </c>
      <c r="K76" s="1074"/>
      <c r="L76" s="99"/>
      <c r="M76" s="99"/>
    </row>
    <row r="77" spans="1:21" s="56" customFormat="1" ht="18" thickBot="1" x14ac:dyDescent="0.35">
      <c r="A77" s="306"/>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307"/>
      <c r="B78" s="97"/>
      <c r="C78" s="945" t="s">
        <v>358</v>
      </c>
      <c r="D78" s="99"/>
      <c r="E78" s="97"/>
      <c r="F78" s="94">
        <v>800</v>
      </c>
      <c r="G78" s="97" t="s">
        <v>212</v>
      </c>
      <c r="H78" s="77">
        <v>0.75</v>
      </c>
      <c r="I78" s="98" t="s">
        <v>206</v>
      </c>
      <c r="J78" s="100">
        <f>F78*H78</f>
        <v>600</v>
      </c>
      <c r="K78" s="97" t="s">
        <v>57</v>
      </c>
      <c r="L78" s="99"/>
      <c r="M78" s="99"/>
      <c r="N78" s="5"/>
      <c r="O78" s="5"/>
      <c r="P78" s="5"/>
      <c r="Q78" s="5"/>
      <c r="R78" s="5"/>
      <c r="S78" s="5"/>
      <c r="T78" s="5"/>
      <c r="U78" s="5"/>
    </row>
    <row r="79" spans="1:21" s="56" customFormat="1" ht="18" thickBot="1" x14ac:dyDescent="0.35">
      <c r="A79" s="306"/>
      <c r="B79" s="97"/>
      <c r="C79" s="945" t="s">
        <v>360</v>
      </c>
      <c r="D79" s="99"/>
      <c r="E79" s="97"/>
      <c r="F79" s="74">
        <v>110</v>
      </c>
      <c r="G79" s="97" t="s">
        <v>212</v>
      </c>
      <c r="H79" s="77">
        <v>0.4</v>
      </c>
      <c r="I79" s="98" t="s">
        <v>206</v>
      </c>
      <c r="J79" s="100">
        <f t="shared" ref="J79:J82" si="8">F79*H79</f>
        <v>44</v>
      </c>
      <c r="K79" s="97" t="s">
        <v>57</v>
      </c>
      <c r="L79" s="99"/>
      <c r="M79" s="99"/>
      <c r="N79" s="69"/>
      <c r="O79" s="69"/>
      <c r="P79" s="69"/>
      <c r="Q79" s="69"/>
      <c r="R79" s="69"/>
      <c r="S79" s="69"/>
      <c r="T79" s="69"/>
      <c r="U79" s="69"/>
    </row>
    <row r="80" spans="1:21" s="69" customFormat="1" ht="15.6" thickBot="1" x14ac:dyDescent="0.3">
      <c r="A80" s="307"/>
      <c r="B80" s="97"/>
      <c r="C80" s="945" t="s">
        <v>361</v>
      </c>
      <c r="D80" s="99"/>
      <c r="E80" s="97"/>
      <c r="F80" s="74">
        <v>1400</v>
      </c>
      <c r="G80" s="97" t="s">
        <v>212</v>
      </c>
      <c r="H80" s="77">
        <v>0.46</v>
      </c>
      <c r="I80" s="98" t="s">
        <v>206</v>
      </c>
      <c r="J80" s="100">
        <f t="shared" si="8"/>
        <v>644</v>
      </c>
      <c r="K80" s="97" t="s">
        <v>57</v>
      </c>
      <c r="L80" s="99"/>
      <c r="M80" s="99"/>
      <c r="N80" s="5"/>
      <c r="O80" s="5"/>
      <c r="P80" s="5"/>
      <c r="Q80" s="5"/>
      <c r="R80" s="5"/>
      <c r="S80" s="5"/>
      <c r="T80" s="5"/>
      <c r="U80" s="5"/>
    </row>
    <row r="81" spans="1:21" s="56" customFormat="1" ht="18" thickBot="1" x14ac:dyDescent="0.35">
      <c r="A81" s="306"/>
      <c r="B81" s="97"/>
      <c r="C81" s="945" t="s">
        <v>251</v>
      </c>
      <c r="D81" s="97"/>
      <c r="E81" s="97"/>
      <c r="F81" s="74"/>
      <c r="G81" s="97" t="s">
        <v>212</v>
      </c>
      <c r="H81" s="77"/>
      <c r="I81" s="98" t="s">
        <v>206</v>
      </c>
      <c r="J81" s="100">
        <f t="shared" si="8"/>
        <v>0</v>
      </c>
      <c r="K81" s="97" t="s">
        <v>57</v>
      </c>
      <c r="L81" s="99"/>
      <c r="M81" s="99"/>
    </row>
    <row r="82" spans="1:21" ht="15.6" thickBot="1" x14ac:dyDescent="0.3">
      <c r="B82" s="97"/>
      <c r="C82" s="945" t="s">
        <v>251</v>
      </c>
      <c r="D82" s="97"/>
      <c r="E82" s="97"/>
      <c r="F82" s="74"/>
      <c r="G82" s="97" t="s">
        <v>212</v>
      </c>
      <c r="H82" s="77"/>
      <c r="I82" s="98" t="s">
        <v>206</v>
      </c>
      <c r="J82" s="100">
        <f t="shared" si="8"/>
        <v>0</v>
      </c>
      <c r="K82" s="97" t="s">
        <v>57</v>
      </c>
      <c r="L82" s="99"/>
      <c r="M82" s="99"/>
      <c r="N82" s="69"/>
      <c r="O82" s="69"/>
      <c r="P82" s="69"/>
      <c r="Q82" s="69"/>
      <c r="R82" s="69"/>
      <c r="S82" s="69"/>
      <c r="T82" s="69"/>
      <c r="U82" s="69"/>
    </row>
    <row r="83" spans="1:21" s="69" customFormat="1" ht="17.399999999999999" x14ac:dyDescent="0.3">
      <c r="A83" s="307"/>
      <c r="B83" s="214"/>
      <c r="C83" s="946" t="s">
        <v>54</v>
      </c>
      <c r="D83" s="214"/>
      <c r="E83" s="214"/>
      <c r="F83" s="214"/>
      <c r="G83" s="214"/>
      <c r="H83" s="214"/>
      <c r="I83" s="215"/>
      <c r="J83" s="216">
        <f>SUM(J78:J82)</f>
        <v>1288</v>
      </c>
      <c r="K83" s="214" t="s">
        <v>57</v>
      </c>
      <c r="L83" s="214"/>
      <c r="M83" s="214"/>
      <c r="N83" s="56"/>
      <c r="O83" s="56"/>
      <c r="P83" s="56"/>
      <c r="Q83" s="56"/>
      <c r="R83" s="56"/>
      <c r="S83" s="56"/>
      <c r="T83" s="56"/>
      <c r="U83" s="56"/>
    </row>
    <row r="84" spans="1:21" s="5" customFormat="1" x14ac:dyDescent="0.25">
      <c r="A84" s="305"/>
      <c r="B84" s="97"/>
      <c r="C84" s="97"/>
      <c r="D84" s="97"/>
      <c r="E84" s="97"/>
      <c r="F84" s="97"/>
      <c r="G84" s="97"/>
      <c r="H84" s="97"/>
      <c r="I84" s="98"/>
      <c r="J84" s="100"/>
      <c r="K84" s="97"/>
      <c r="L84" s="99"/>
      <c r="M84" s="99"/>
      <c r="N84"/>
      <c r="O84"/>
      <c r="P84"/>
      <c r="Q84"/>
      <c r="R84"/>
      <c r="S84"/>
      <c r="T84"/>
      <c r="U84"/>
    </row>
    <row r="85" spans="1:21" s="5" customFormat="1" ht="15" x14ac:dyDescent="0.25">
      <c r="A85" s="305"/>
      <c r="B85"/>
      <c r="C85"/>
      <c r="D85"/>
      <c r="E85"/>
      <c r="F85"/>
      <c r="G85"/>
      <c r="H85"/>
      <c r="I85"/>
      <c r="J85"/>
      <c r="K85"/>
      <c r="L85"/>
      <c r="M85"/>
      <c r="N85" s="69"/>
      <c r="O85" s="69"/>
      <c r="P85" s="69"/>
      <c r="Q85" s="69"/>
      <c r="R85" s="69"/>
      <c r="S85" s="69"/>
      <c r="T85" s="69"/>
      <c r="U85" s="69"/>
    </row>
    <row r="86" spans="1:21" s="5" customFormat="1" ht="15.6" x14ac:dyDescent="0.3">
      <c r="A86" s="305"/>
      <c r="B86" s="85" t="s">
        <v>252</v>
      </c>
      <c r="C86" s="51"/>
      <c r="D86" s="51"/>
      <c r="E86" s="51"/>
      <c r="F86" s="1075" t="s">
        <v>114</v>
      </c>
      <c r="G86" s="1075"/>
      <c r="H86" s="1076" t="s">
        <v>113</v>
      </c>
      <c r="I86" s="1076"/>
      <c r="J86" s="1075" t="s">
        <v>243</v>
      </c>
      <c r="K86" s="1075"/>
      <c r="L86" s="58"/>
      <c r="M86" s="58"/>
    </row>
    <row r="87" spans="1:21" x14ac:dyDescent="0.25">
      <c r="B87" s="51"/>
      <c r="C87" s="51"/>
      <c r="D87" s="51"/>
      <c r="E87" s="51"/>
      <c r="F87" s="53"/>
      <c r="G87" s="53"/>
      <c r="H87" s="52"/>
      <c r="I87" s="52"/>
      <c r="J87" s="52"/>
      <c r="K87" s="58"/>
      <c r="L87" s="58"/>
      <c r="M87" s="58"/>
      <c r="N87" s="5"/>
      <c r="O87" s="5"/>
      <c r="P87" s="5"/>
      <c r="Q87" s="5"/>
      <c r="R87" s="5"/>
      <c r="S87" s="5"/>
      <c r="T87" s="5"/>
      <c r="U87" s="5"/>
    </row>
    <row r="88" spans="1:21" ht="15.6" x14ac:dyDescent="0.3">
      <c r="B88" s="85"/>
      <c r="C88" s="51"/>
      <c r="D88" s="387" t="s">
        <v>495</v>
      </c>
      <c r="E88" s="51"/>
      <c r="F88" s="59"/>
      <c r="G88" s="59"/>
      <c r="H88" s="60"/>
      <c r="I88" s="60"/>
      <c r="J88" s="59"/>
      <c r="K88" s="59"/>
      <c r="L88" s="58"/>
      <c r="M88" s="58"/>
    </row>
    <row r="89" spans="1:21" ht="13.8" thickBot="1" x14ac:dyDescent="0.3">
      <c r="B89" s="171" t="s">
        <v>254</v>
      </c>
      <c r="C89" s="51"/>
      <c r="D89" s="51"/>
      <c r="E89" s="51"/>
      <c r="F89" s="53"/>
      <c r="G89" s="53"/>
      <c r="H89" s="52"/>
      <c r="I89" s="52"/>
      <c r="J89" s="58"/>
      <c r="K89" s="58"/>
      <c r="L89" s="58"/>
      <c r="M89" s="58"/>
    </row>
    <row r="90" spans="1:21" ht="13.8" thickBot="1" x14ac:dyDescent="0.3">
      <c r="B90" s="51"/>
      <c r="C90" s="51" t="s">
        <v>496</v>
      </c>
      <c r="D90" s="58"/>
      <c r="E90" s="51"/>
      <c r="F90" s="77">
        <v>4</v>
      </c>
      <c r="G90" s="53" t="s">
        <v>256</v>
      </c>
      <c r="H90" s="77">
        <v>28</v>
      </c>
      <c r="I90" s="52" t="s">
        <v>257</v>
      </c>
      <c r="J90" s="58">
        <f>F90*H90</f>
        <v>112</v>
      </c>
      <c r="K90" s="51" t="s">
        <v>57</v>
      </c>
      <c r="L90" s="58"/>
      <c r="M90" s="58"/>
    </row>
    <row r="91" spans="1:21" ht="13.8" thickBot="1" x14ac:dyDescent="0.3">
      <c r="B91" s="51"/>
      <c r="C91" s="51" t="s">
        <v>497</v>
      </c>
      <c r="D91" s="58"/>
      <c r="E91" s="51"/>
      <c r="F91" s="77">
        <v>1</v>
      </c>
      <c r="G91" s="53" t="s">
        <v>212</v>
      </c>
      <c r="H91" s="77">
        <v>67</v>
      </c>
      <c r="I91" s="52" t="s">
        <v>206</v>
      </c>
      <c r="J91" s="58">
        <f t="shared" ref="J91:J96" si="9">F91*H91</f>
        <v>67</v>
      </c>
      <c r="K91" s="51" t="s">
        <v>57</v>
      </c>
      <c r="L91" s="58"/>
      <c r="M91" s="58"/>
    </row>
    <row r="92" spans="1:21" ht="13.8" thickBot="1" x14ac:dyDescent="0.3">
      <c r="B92" s="51"/>
      <c r="C92" s="51" t="s">
        <v>498</v>
      </c>
      <c r="D92" s="58"/>
      <c r="E92" s="51"/>
      <c r="F92" s="77">
        <v>0.5</v>
      </c>
      <c r="G92" s="53" t="s">
        <v>256</v>
      </c>
      <c r="H92" s="77">
        <v>230</v>
      </c>
      <c r="I92" s="52" t="s">
        <v>257</v>
      </c>
      <c r="J92" s="58">
        <f t="shared" si="9"/>
        <v>115</v>
      </c>
      <c r="K92" s="51" t="s">
        <v>57</v>
      </c>
      <c r="L92" s="58"/>
      <c r="M92" s="58"/>
    </row>
    <row r="93" spans="1:21" ht="13.8" thickBot="1" x14ac:dyDescent="0.3">
      <c r="B93" s="51"/>
      <c r="C93" s="51" t="s">
        <v>393</v>
      </c>
      <c r="D93" s="58"/>
      <c r="E93" s="51"/>
      <c r="F93" s="77">
        <v>2</v>
      </c>
      <c r="G93" s="53" t="s">
        <v>212</v>
      </c>
      <c r="H93" s="77">
        <v>295</v>
      </c>
      <c r="I93" s="52" t="s">
        <v>206</v>
      </c>
      <c r="J93" s="463">
        <f t="shared" si="9"/>
        <v>590</v>
      </c>
      <c r="K93" s="51" t="s">
        <v>57</v>
      </c>
      <c r="L93" s="58"/>
      <c r="M93" s="58"/>
    </row>
    <row r="94" spans="1:21" ht="13.8" thickBot="1" x14ac:dyDescent="0.3">
      <c r="B94" s="51"/>
      <c r="C94" s="51" t="s">
        <v>265</v>
      </c>
      <c r="D94" s="51"/>
      <c r="E94" s="51"/>
      <c r="F94" s="95"/>
      <c r="G94" s="53" t="s">
        <v>256</v>
      </c>
      <c r="H94" s="77"/>
      <c r="I94" s="52" t="s">
        <v>257</v>
      </c>
      <c r="J94" s="58">
        <f t="shared" si="9"/>
        <v>0</v>
      </c>
      <c r="K94" s="51" t="s">
        <v>57</v>
      </c>
      <c r="L94" s="58"/>
      <c r="M94" s="58"/>
    </row>
    <row r="95" spans="1:21" ht="13.8" thickBot="1" x14ac:dyDescent="0.3">
      <c r="B95" s="51"/>
      <c r="C95" s="51" t="s">
        <v>265</v>
      </c>
      <c r="D95" s="51"/>
      <c r="E95" s="51"/>
      <c r="F95" s="95"/>
      <c r="G95" s="53" t="s">
        <v>256</v>
      </c>
      <c r="H95" s="77"/>
      <c r="I95" s="52" t="s">
        <v>257</v>
      </c>
      <c r="J95" s="58">
        <f t="shared" si="9"/>
        <v>0</v>
      </c>
      <c r="K95" s="51" t="s">
        <v>57</v>
      </c>
      <c r="L95" s="58"/>
      <c r="M95" s="58"/>
    </row>
    <row r="96" spans="1:21" ht="13.8" thickBot="1" x14ac:dyDescent="0.3">
      <c r="B96" s="51"/>
      <c r="C96" s="51" t="s">
        <v>265</v>
      </c>
      <c r="D96" s="51"/>
      <c r="E96" s="51"/>
      <c r="F96" s="95"/>
      <c r="G96" s="53" t="s">
        <v>256</v>
      </c>
      <c r="H96" s="77"/>
      <c r="I96" s="52" t="s">
        <v>257</v>
      </c>
      <c r="J96" s="58">
        <f t="shared" si="9"/>
        <v>0</v>
      </c>
      <c r="K96" s="51" t="s">
        <v>57</v>
      </c>
      <c r="L96" s="58"/>
      <c r="M96" s="58"/>
    </row>
    <row r="97" spans="1:13" x14ac:dyDescent="0.25">
      <c r="B97" s="51"/>
      <c r="C97" s="51"/>
      <c r="D97" s="51"/>
      <c r="E97" s="51"/>
      <c r="F97" s="53"/>
      <c r="G97" s="53"/>
      <c r="H97" s="52"/>
      <c r="I97" s="52"/>
      <c r="J97" s="58"/>
      <c r="K97" s="51"/>
      <c r="L97" s="58"/>
      <c r="M97" s="58"/>
    </row>
    <row r="98" spans="1:13" ht="13.8" thickBot="1" x14ac:dyDescent="0.3">
      <c r="B98" s="171" t="s">
        <v>266</v>
      </c>
      <c r="C98" s="51"/>
      <c r="D98" s="51"/>
      <c r="E98" s="51"/>
      <c r="F98" s="53"/>
      <c r="G98" s="53"/>
      <c r="H98" s="52"/>
      <c r="I98" s="52"/>
      <c r="J98" s="58"/>
      <c r="K98" s="51"/>
      <c r="L98" s="58"/>
      <c r="M98" s="58"/>
    </row>
    <row r="99" spans="1:13" ht="13.8" thickBot="1" x14ac:dyDescent="0.3">
      <c r="B99" s="51"/>
      <c r="C99" s="51" t="s">
        <v>366</v>
      </c>
      <c r="D99" s="51"/>
      <c r="E99" s="51"/>
      <c r="F99" s="95"/>
      <c r="G99" s="53" t="s">
        <v>260</v>
      </c>
      <c r="H99" s="95"/>
      <c r="I99" s="52" t="s">
        <v>261</v>
      </c>
      <c r="J99" s="58">
        <f t="shared" ref="J99:J103" si="10">F99*H99</f>
        <v>0</v>
      </c>
      <c r="K99" s="51" t="s">
        <v>57</v>
      </c>
      <c r="L99" s="58"/>
      <c r="M99" s="58"/>
    </row>
    <row r="100" spans="1:13" ht="13.8" thickBot="1" x14ac:dyDescent="0.3">
      <c r="B100" s="51"/>
      <c r="C100" s="51" t="s">
        <v>267</v>
      </c>
      <c r="D100" s="51"/>
      <c r="E100" s="51"/>
      <c r="F100" s="95"/>
      <c r="G100" s="53" t="s">
        <v>256</v>
      </c>
      <c r="H100" s="95"/>
      <c r="I100" s="52" t="s">
        <v>257</v>
      </c>
      <c r="J100" s="58">
        <f t="shared" si="10"/>
        <v>0</v>
      </c>
      <c r="K100" s="51" t="s">
        <v>57</v>
      </c>
      <c r="L100" s="58"/>
      <c r="M100" s="58"/>
    </row>
    <row r="101" spans="1:13" ht="13.8" thickBot="1" x14ac:dyDescent="0.3">
      <c r="B101" s="51"/>
      <c r="C101" s="51" t="s">
        <v>267</v>
      </c>
      <c r="D101" s="51"/>
      <c r="E101" s="51"/>
      <c r="F101" s="95"/>
      <c r="G101" s="53" t="s">
        <v>256</v>
      </c>
      <c r="H101" s="95"/>
      <c r="I101" s="52" t="s">
        <v>257</v>
      </c>
      <c r="J101" s="58">
        <f t="shared" si="10"/>
        <v>0</v>
      </c>
      <c r="K101" s="51" t="s">
        <v>57</v>
      </c>
      <c r="L101" s="58"/>
      <c r="M101" s="58"/>
    </row>
    <row r="102" spans="1:13" ht="13.8" thickBot="1" x14ac:dyDescent="0.3">
      <c r="B102" s="51"/>
      <c r="C102" s="51" t="s">
        <v>267</v>
      </c>
      <c r="D102" s="51"/>
      <c r="E102" s="51"/>
      <c r="F102" s="95"/>
      <c r="G102" s="53" t="s">
        <v>256</v>
      </c>
      <c r="H102" s="95"/>
      <c r="I102" s="52" t="s">
        <v>257</v>
      </c>
      <c r="J102" s="58">
        <f t="shared" si="10"/>
        <v>0</v>
      </c>
      <c r="K102" s="51" t="s">
        <v>57</v>
      </c>
      <c r="L102" s="58"/>
      <c r="M102" s="58"/>
    </row>
    <row r="103" spans="1:13" ht="13.8" thickBot="1" x14ac:dyDescent="0.3">
      <c r="B103" s="51"/>
      <c r="C103" s="51" t="s">
        <v>267</v>
      </c>
      <c r="D103" s="51"/>
      <c r="E103" s="51"/>
      <c r="F103" s="95"/>
      <c r="G103" s="53" t="s">
        <v>256</v>
      </c>
      <c r="H103" s="95"/>
      <c r="I103" s="52" t="s">
        <v>257</v>
      </c>
      <c r="J103" s="58">
        <f t="shared" si="10"/>
        <v>0</v>
      </c>
      <c r="K103" s="51" t="s">
        <v>57</v>
      </c>
      <c r="L103" s="58"/>
      <c r="M103" s="58"/>
    </row>
    <row r="104" spans="1:13" s="5" customFormat="1" x14ac:dyDescent="0.25">
      <c r="A104" s="305"/>
      <c r="B104" s="195"/>
      <c r="C104" s="195" t="s">
        <v>54</v>
      </c>
      <c r="D104" s="195"/>
      <c r="E104" s="195"/>
      <c r="F104" s="196"/>
      <c r="G104" s="196"/>
      <c r="H104" s="196"/>
      <c r="I104" s="197"/>
      <c r="J104" s="197">
        <f>SUM(J90:J103)</f>
        <v>884</v>
      </c>
      <c r="K104" s="195" t="s">
        <v>57</v>
      </c>
      <c r="L104" s="195"/>
      <c r="M104" s="195"/>
    </row>
    <row r="105" spans="1:13" x14ac:dyDescent="0.25">
      <c r="B105" s="51"/>
      <c r="C105" s="51"/>
      <c r="D105" s="51"/>
      <c r="E105" s="51"/>
      <c r="F105" s="53"/>
      <c r="G105" s="53"/>
      <c r="H105" s="52"/>
      <c r="I105" s="52"/>
      <c r="J105" s="58"/>
      <c r="K105" s="51"/>
      <c r="L105" s="58"/>
      <c r="M105" s="58"/>
    </row>
    <row r="106" spans="1:13" x14ac:dyDescent="0.25">
      <c r="A106" s="310"/>
    </row>
    <row r="107" spans="1:13" ht="15.6" x14ac:dyDescent="0.3">
      <c r="A107" s="310"/>
      <c r="B107" s="86" t="s">
        <v>367</v>
      </c>
      <c r="C107" s="61"/>
      <c r="D107" s="61"/>
      <c r="E107" s="61"/>
      <c r="F107" s="1071" t="s">
        <v>114</v>
      </c>
      <c r="G107" s="1071"/>
      <c r="H107" s="1071" t="s">
        <v>113</v>
      </c>
      <c r="I107" s="1071"/>
      <c r="J107" s="1071" t="s">
        <v>243</v>
      </c>
      <c r="K107" s="1071"/>
      <c r="L107" s="63"/>
      <c r="M107" s="63"/>
    </row>
    <row r="108" spans="1:13" ht="13.8" thickBot="1" x14ac:dyDescent="0.3">
      <c r="A108" s="310"/>
      <c r="B108" s="61"/>
      <c r="C108" s="61"/>
      <c r="D108" s="61"/>
      <c r="E108" s="61"/>
      <c r="F108" s="61"/>
      <c r="G108" s="61"/>
      <c r="H108" s="62"/>
      <c r="I108" s="62"/>
      <c r="J108" s="63"/>
      <c r="K108" s="63"/>
      <c r="L108" s="63"/>
      <c r="M108" s="63"/>
    </row>
    <row r="109" spans="1:13" ht="13.8" thickBot="1" x14ac:dyDescent="0.3">
      <c r="A109" s="310"/>
      <c r="B109" s="61"/>
      <c r="C109" s="61" t="s">
        <v>368</v>
      </c>
      <c r="D109" s="63"/>
      <c r="E109" s="61"/>
      <c r="F109" s="388">
        <f>S10*'Gårdens info'!$G$14/1</f>
        <v>0</v>
      </c>
      <c r="G109" s="61" t="s">
        <v>31</v>
      </c>
      <c r="H109" s="77">
        <v>0.01</v>
      </c>
      <c r="I109" s="62" t="s">
        <v>246</v>
      </c>
      <c r="J109" s="64">
        <f>F109*H109</f>
        <v>0</v>
      </c>
      <c r="K109" s="61" t="s">
        <v>57</v>
      </c>
      <c r="L109" s="63"/>
      <c r="M109" s="63"/>
    </row>
    <row r="110" spans="1:13" ht="13.8" thickBot="1" x14ac:dyDescent="0.3">
      <c r="A110" s="310"/>
      <c r="B110" s="61"/>
      <c r="C110" s="61" t="s">
        <v>369</v>
      </c>
      <c r="D110" s="63"/>
      <c r="E110" s="61"/>
      <c r="F110" s="388">
        <f>S11*'Gårdens info'!$G$14/1</f>
        <v>0</v>
      </c>
      <c r="G110" s="61" t="s">
        <v>31</v>
      </c>
      <c r="H110" s="77">
        <v>0.01</v>
      </c>
      <c r="I110" s="62" t="s">
        <v>246</v>
      </c>
      <c r="J110" s="64">
        <f t="shared" ref="J110:J116" si="11">F110*H110</f>
        <v>0</v>
      </c>
      <c r="K110" s="61" t="s">
        <v>57</v>
      </c>
      <c r="L110" s="63"/>
      <c r="M110" s="63"/>
    </row>
    <row r="111" spans="1:13" ht="13.8" thickBot="1" x14ac:dyDescent="0.3">
      <c r="A111" s="310"/>
      <c r="B111" s="61"/>
      <c r="C111" s="61" t="s">
        <v>270</v>
      </c>
      <c r="D111" s="63"/>
      <c r="E111" s="61"/>
      <c r="F111" s="388">
        <f>S12*'Gårdens info'!$G$14/1</f>
        <v>20000</v>
      </c>
      <c r="G111" s="61" t="s">
        <v>31</v>
      </c>
      <c r="H111" s="77">
        <v>0.01</v>
      </c>
      <c r="I111" s="62" t="s">
        <v>246</v>
      </c>
      <c r="J111" s="64">
        <f t="shared" si="11"/>
        <v>200</v>
      </c>
      <c r="K111" s="61" t="s">
        <v>57</v>
      </c>
      <c r="L111" s="63"/>
      <c r="M111" s="63"/>
    </row>
    <row r="112" spans="1:13" ht="13.8" thickBot="1" x14ac:dyDescent="0.3">
      <c r="A112" s="310"/>
      <c r="B112" s="61"/>
      <c r="C112" s="61" t="s">
        <v>271</v>
      </c>
      <c r="D112" s="63"/>
      <c r="E112" s="61"/>
      <c r="F112" s="388">
        <f>S13*'Gårdens info'!$G$14/1</f>
        <v>20000</v>
      </c>
      <c r="G112" s="61" t="s">
        <v>31</v>
      </c>
      <c r="H112" s="77">
        <v>0.05</v>
      </c>
      <c r="I112" s="62" t="s">
        <v>246</v>
      </c>
      <c r="J112" s="64">
        <f t="shared" si="11"/>
        <v>1000</v>
      </c>
      <c r="K112" s="61" t="s">
        <v>57</v>
      </c>
      <c r="L112" s="63"/>
      <c r="M112" s="63"/>
    </row>
    <row r="113" spans="1:21" ht="13.8" thickBot="1" x14ac:dyDescent="0.3">
      <c r="A113" s="310"/>
      <c r="B113" s="61"/>
      <c r="C113" s="77" t="s">
        <v>272</v>
      </c>
      <c r="D113" s="77"/>
      <c r="E113" s="61" t="s">
        <v>212</v>
      </c>
      <c r="F113" s="388">
        <f>IF(S14&gt;0,S14*'Gårdens info'!$G$14/D113,0)</f>
        <v>0</v>
      </c>
      <c r="G113" s="61" t="s">
        <v>31</v>
      </c>
      <c r="H113" s="77"/>
      <c r="I113" s="62" t="s">
        <v>246</v>
      </c>
      <c r="J113" s="64">
        <f t="shared" si="11"/>
        <v>0</v>
      </c>
      <c r="K113" s="61" t="s">
        <v>57</v>
      </c>
      <c r="L113" s="63"/>
      <c r="M113" s="63"/>
    </row>
    <row r="114" spans="1:21" ht="13.8" thickBot="1" x14ac:dyDescent="0.3">
      <c r="A114" s="310"/>
      <c r="B114" s="61"/>
      <c r="C114" s="77" t="s">
        <v>272</v>
      </c>
      <c r="D114" s="77"/>
      <c r="E114" s="61" t="s">
        <v>212</v>
      </c>
      <c r="F114" s="388">
        <f>IF(S15&gt;0,S15*'Gårdens info'!$G$14/D114,0)</f>
        <v>0</v>
      </c>
      <c r="G114" s="61" t="s">
        <v>31</v>
      </c>
      <c r="H114" s="77"/>
      <c r="I114" s="62" t="s">
        <v>246</v>
      </c>
      <c r="J114" s="64">
        <f t="shared" si="11"/>
        <v>0</v>
      </c>
      <c r="K114" s="61" t="s">
        <v>57</v>
      </c>
      <c r="L114" s="63"/>
      <c r="M114" s="63"/>
    </row>
    <row r="115" spans="1:21" ht="13.8" thickBot="1" x14ac:dyDescent="0.3">
      <c r="A115" s="310"/>
      <c r="B115" s="61"/>
      <c r="C115" s="77" t="s">
        <v>272</v>
      </c>
      <c r="D115" s="77"/>
      <c r="E115" s="61" t="s">
        <v>212</v>
      </c>
      <c r="F115" s="388">
        <f>IF(S16&gt;0,S16*'Gårdens info'!$G$14/D115,0)</f>
        <v>0</v>
      </c>
      <c r="G115" s="61" t="s">
        <v>31</v>
      </c>
      <c r="H115" s="77"/>
      <c r="I115" s="62" t="s">
        <v>246</v>
      </c>
      <c r="J115" s="64">
        <f t="shared" si="11"/>
        <v>0</v>
      </c>
      <c r="K115" s="61" t="s">
        <v>57</v>
      </c>
      <c r="L115" s="63"/>
      <c r="M115" s="63"/>
    </row>
    <row r="116" spans="1:21" ht="13.8" thickBot="1" x14ac:dyDescent="0.3">
      <c r="A116" s="310"/>
      <c r="B116" s="61"/>
      <c r="C116" s="77" t="s">
        <v>272</v>
      </c>
      <c r="D116" s="77"/>
      <c r="E116" s="61" t="s">
        <v>212</v>
      </c>
      <c r="F116" s="388">
        <f>IF(S17&gt;0,S17*'Gårdens info'!$G$14/D116,0)</f>
        <v>0</v>
      </c>
      <c r="G116" s="61" t="s">
        <v>31</v>
      </c>
      <c r="H116" s="77"/>
      <c r="I116" s="62" t="s">
        <v>246</v>
      </c>
      <c r="J116" s="64">
        <f t="shared" si="11"/>
        <v>0</v>
      </c>
      <c r="K116" s="61" t="s">
        <v>57</v>
      </c>
      <c r="L116" s="63"/>
      <c r="M116" s="63"/>
    </row>
    <row r="117" spans="1:21" x14ac:dyDescent="0.25">
      <c r="A117" s="310"/>
      <c r="B117" s="198"/>
      <c r="C117" s="198" t="s">
        <v>54</v>
      </c>
      <c r="D117" s="198"/>
      <c r="E117" s="198"/>
      <c r="F117" s="198"/>
      <c r="G117" s="198"/>
      <c r="H117" s="199"/>
      <c r="I117" s="199"/>
      <c r="J117" s="200">
        <f>SUM(J109:J116)</f>
        <v>1200</v>
      </c>
      <c r="K117" s="198" t="s">
        <v>57</v>
      </c>
      <c r="L117" s="198"/>
      <c r="M117" s="198"/>
    </row>
    <row r="118" spans="1:21" x14ac:dyDescent="0.25">
      <c r="A118" s="310"/>
      <c r="B118" s="61"/>
      <c r="C118" s="61"/>
      <c r="D118" s="61"/>
      <c r="E118" s="61"/>
      <c r="F118" s="61"/>
      <c r="G118" s="61"/>
      <c r="H118" s="62"/>
      <c r="I118" s="62"/>
      <c r="J118" s="64"/>
      <c r="K118" s="61"/>
      <c r="L118" s="63"/>
      <c r="M118" s="63"/>
    </row>
    <row r="119" spans="1:21" x14ac:dyDescent="0.25">
      <c r="A119" s="310"/>
    </row>
    <row r="120" spans="1:21" s="5" customFormat="1" ht="15.6" x14ac:dyDescent="0.3">
      <c r="A120" s="311"/>
      <c r="B120" s="87" t="s">
        <v>273</v>
      </c>
      <c r="C120" s="65"/>
      <c r="D120" s="65"/>
      <c r="E120" s="65"/>
      <c r="F120" s="1072" t="s">
        <v>114</v>
      </c>
      <c r="G120" s="1072"/>
      <c r="H120" s="1072" t="s">
        <v>113</v>
      </c>
      <c r="I120" s="1072"/>
      <c r="J120" s="1072" t="s">
        <v>243</v>
      </c>
      <c r="K120" s="1072"/>
      <c r="L120" s="67"/>
      <c r="M120" s="67"/>
      <c r="N120"/>
      <c r="O120"/>
      <c r="P120"/>
      <c r="Q120"/>
      <c r="R120"/>
      <c r="S120"/>
      <c r="T120"/>
      <c r="U120"/>
    </row>
    <row r="121" spans="1:21" ht="13.8" thickBot="1" x14ac:dyDescent="0.3">
      <c r="A121" s="310"/>
      <c r="B121" s="65"/>
      <c r="C121" s="65"/>
      <c r="D121" s="65"/>
      <c r="E121" s="65"/>
      <c r="F121" s="65"/>
      <c r="G121" s="65"/>
      <c r="H121" s="66"/>
      <c r="I121" s="66"/>
      <c r="J121" s="67"/>
      <c r="K121" s="67"/>
      <c r="L121" s="67"/>
      <c r="M121" s="67"/>
    </row>
    <row r="122" spans="1:21" ht="13.8" thickBot="1" x14ac:dyDescent="0.3">
      <c r="A122" s="310"/>
      <c r="B122" s="65"/>
      <c r="C122" s="65" t="s">
        <v>222</v>
      </c>
      <c r="D122" s="67"/>
      <c r="E122" s="65"/>
      <c r="F122" s="74">
        <f>'Gårdens info'!G14*'Gårdens info'!D14*0.8</f>
        <v>64000</v>
      </c>
      <c r="G122" s="65" t="s">
        <v>212</v>
      </c>
      <c r="H122" s="77">
        <v>0.02</v>
      </c>
      <c r="I122" s="66" t="s">
        <v>206</v>
      </c>
      <c r="J122" s="68">
        <f t="shared" ref="J122:J124" si="12">F122*H122</f>
        <v>1280</v>
      </c>
      <c r="K122" s="65" t="s">
        <v>57</v>
      </c>
      <c r="L122" s="67"/>
      <c r="M122" s="67"/>
      <c r="N122" s="5"/>
      <c r="O122" s="5"/>
      <c r="P122" s="5"/>
      <c r="Q122" s="5"/>
      <c r="R122" s="5"/>
      <c r="S122" s="5"/>
      <c r="T122" s="5"/>
      <c r="U122" s="5"/>
    </row>
    <row r="123" spans="1:21" ht="13.8" thickBot="1" x14ac:dyDescent="0.3">
      <c r="A123" s="310"/>
      <c r="B123" s="65"/>
      <c r="C123" s="65" t="s">
        <v>372</v>
      </c>
      <c r="D123" s="65"/>
      <c r="E123" s="65"/>
      <c r="F123" s="74"/>
      <c r="G123" s="65" t="s">
        <v>212</v>
      </c>
      <c r="H123" s="77"/>
      <c r="I123" s="66" t="s">
        <v>206</v>
      </c>
      <c r="J123" s="68">
        <f t="shared" si="12"/>
        <v>0</v>
      </c>
      <c r="K123" s="65" t="s">
        <v>57</v>
      </c>
      <c r="L123" s="67"/>
      <c r="M123" s="67"/>
    </row>
    <row r="124" spans="1:21" ht="13.8" thickBot="1" x14ac:dyDescent="0.3">
      <c r="A124" s="310"/>
      <c r="B124" s="65"/>
      <c r="C124" s="65" t="s">
        <v>372</v>
      </c>
      <c r="D124" s="65"/>
      <c r="E124" s="65"/>
      <c r="F124" s="74"/>
      <c r="G124" s="65" t="s">
        <v>212</v>
      </c>
      <c r="H124" s="77"/>
      <c r="I124" s="66" t="s">
        <v>206</v>
      </c>
      <c r="J124" s="68">
        <f t="shared" si="12"/>
        <v>0</v>
      </c>
      <c r="K124" s="65" t="s">
        <v>57</v>
      </c>
      <c r="L124" s="67"/>
      <c r="M124" s="67"/>
    </row>
    <row r="125" spans="1:21" x14ac:dyDescent="0.25">
      <c r="A125" s="310"/>
      <c r="B125" s="201"/>
      <c r="C125" s="201" t="s">
        <v>54</v>
      </c>
      <c r="D125" s="201"/>
      <c r="E125" s="201"/>
      <c r="F125" s="201"/>
      <c r="G125" s="201"/>
      <c r="H125" s="202"/>
      <c r="I125" s="202"/>
      <c r="J125" s="203">
        <f>SUM(J122:J124)</f>
        <v>1280</v>
      </c>
      <c r="K125" s="201" t="s">
        <v>57</v>
      </c>
      <c r="L125" s="201"/>
      <c r="M125" s="201"/>
    </row>
    <row r="126" spans="1:21" x14ac:dyDescent="0.25">
      <c r="A126" s="310"/>
      <c r="B126" s="65"/>
      <c r="C126" s="65"/>
      <c r="D126" s="65"/>
      <c r="E126" s="65"/>
      <c r="F126" s="65"/>
      <c r="G126" s="65"/>
      <c r="H126" s="66"/>
      <c r="I126" s="66"/>
      <c r="J126" s="68"/>
      <c r="K126" s="65"/>
      <c r="L126" s="67"/>
      <c r="M126" s="67"/>
    </row>
    <row r="127" spans="1:21" x14ac:dyDescent="0.25">
      <c r="A127" s="310"/>
    </row>
    <row r="128" spans="1:21" ht="15.6" x14ac:dyDescent="0.3">
      <c r="A128" s="310"/>
      <c r="B128" s="176" t="s">
        <v>275</v>
      </c>
      <c r="C128" s="177"/>
      <c r="D128" s="177"/>
      <c r="E128" s="177"/>
      <c r="F128" s="1067" t="s">
        <v>114</v>
      </c>
      <c r="G128" s="1067"/>
      <c r="H128" s="1067" t="s">
        <v>113</v>
      </c>
      <c r="I128" s="1067"/>
      <c r="J128" s="1067" t="s">
        <v>243</v>
      </c>
      <c r="K128" s="1067"/>
      <c r="L128" s="179"/>
      <c r="M128" s="179"/>
    </row>
    <row r="129" spans="1:21" ht="13.8" thickBot="1" x14ac:dyDescent="0.3">
      <c r="A129" s="310"/>
      <c r="B129" s="177"/>
      <c r="C129" s="177"/>
      <c r="D129" s="177"/>
      <c r="E129" s="177"/>
      <c r="F129" s="177"/>
      <c r="G129" s="177"/>
      <c r="H129" s="178"/>
      <c r="I129" s="178"/>
      <c r="J129" s="179"/>
      <c r="K129" s="179"/>
      <c r="L129" s="179"/>
      <c r="M129" s="179"/>
    </row>
    <row r="130" spans="1:21" ht="13.8" thickBot="1" x14ac:dyDescent="0.3">
      <c r="A130" s="310"/>
      <c r="B130" s="177"/>
      <c r="C130" s="177" t="s">
        <v>276</v>
      </c>
      <c r="D130" s="179"/>
      <c r="E130" s="177"/>
      <c r="F130" s="74"/>
      <c r="G130" s="177" t="s">
        <v>7</v>
      </c>
      <c r="H130" s="77"/>
      <c r="I130" s="178" t="s">
        <v>57</v>
      </c>
      <c r="J130" s="180">
        <f t="shared" ref="J130:J132" si="13">F130*H130</f>
        <v>0</v>
      </c>
      <c r="K130" s="177" t="s">
        <v>57</v>
      </c>
      <c r="L130" s="179"/>
      <c r="M130" s="179"/>
    </row>
    <row r="131" spans="1:21" ht="13.8" thickBot="1" x14ac:dyDescent="0.3">
      <c r="B131" s="177"/>
      <c r="C131" s="177" t="s">
        <v>276</v>
      </c>
      <c r="D131" s="177"/>
      <c r="E131" s="177"/>
      <c r="F131" s="74"/>
      <c r="G131" s="177" t="s">
        <v>7</v>
      </c>
      <c r="H131" s="77"/>
      <c r="I131" s="178" t="s">
        <v>57</v>
      </c>
      <c r="J131" s="180">
        <f t="shared" si="13"/>
        <v>0</v>
      </c>
      <c r="K131" s="177" t="s">
        <v>57</v>
      </c>
      <c r="L131" s="179"/>
      <c r="M131" s="179"/>
    </row>
    <row r="132" spans="1:21" ht="13.8" thickBot="1" x14ac:dyDescent="0.3">
      <c r="B132" s="177"/>
      <c r="C132" s="177" t="s">
        <v>276</v>
      </c>
      <c r="D132" s="177"/>
      <c r="E132" s="177"/>
      <c r="F132" s="74"/>
      <c r="G132" s="177" t="s">
        <v>7</v>
      </c>
      <c r="H132" s="77"/>
      <c r="I132" s="178" t="s">
        <v>57</v>
      </c>
      <c r="J132" s="180">
        <f t="shared" si="13"/>
        <v>0</v>
      </c>
      <c r="K132" s="177" t="s">
        <v>57</v>
      </c>
      <c r="L132" s="179"/>
      <c r="M132" s="179"/>
    </row>
    <row r="133" spans="1:21" s="5" customFormat="1" x14ac:dyDescent="0.25">
      <c r="A133" s="305"/>
      <c r="B133" s="204"/>
      <c r="C133" s="204" t="s">
        <v>54</v>
      </c>
      <c r="D133" s="204"/>
      <c r="E133" s="204"/>
      <c r="F133" s="204"/>
      <c r="G133" s="204"/>
      <c r="H133" s="205"/>
      <c r="I133" s="205"/>
      <c r="J133" s="206">
        <f>SUM(J130:J132)</f>
        <v>0</v>
      </c>
      <c r="K133" s="204" t="s">
        <v>57</v>
      </c>
      <c r="L133" s="204"/>
      <c r="M133" s="204"/>
      <c r="N133"/>
      <c r="O133"/>
      <c r="P133"/>
      <c r="Q133"/>
      <c r="R133"/>
      <c r="S133"/>
      <c r="T133"/>
      <c r="U133"/>
    </row>
    <row r="134" spans="1:21" x14ac:dyDescent="0.25">
      <c r="B134" s="177"/>
      <c r="C134" s="177"/>
      <c r="D134" s="177"/>
      <c r="E134" s="177"/>
      <c r="F134" s="177"/>
      <c r="G134" s="177"/>
      <c r="H134" s="178"/>
      <c r="I134" s="178"/>
      <c r="J134" s="180"/>
      <c r="K134" s="177"/>
      <c r="L134" s="179"/>
      <c r="M134" s="179"/>
    </row>
    <row r="135" spans="1:21" ht="30" customHeight="1" x14ac:dyDescent="0.25">
      <c r="N135" s="5"/>
      <c r="O135" s="5"/>
      <c r="P135" s="5"/>
      <c r="Q135" s="5"/>
      <c r="R135" s="5"/>
      <c r="S135" s="5"/>
      <c r="T135" s="5"/>
      <c r="U135" s="5"/>
    </row>
    <row r="136" spans="1:21" ht="15.6" x14ac:dyDescent="0.3">
      <c r="B136" s="181" t="s">
        <v>490</v>
      </c>
      <c r="C136" s="182"/>
      <c r="D136" s="182"/>
      <c r="E136" s="183"/>
      <c r="F136" s="182" t="s">
        <v>114</v>
      </c>
      <c r="G136" s="184"/>
      <c r="H136" s="184" t="s">
        <v>113</v>
      </c>
      <c r="I136" s="182"/>
      <c r="J136" s="182"/>
      <c r="K136" s="185"/>
      <c r="L136" s="185"/>
      <c r="M136" s="185"/>
    </row>
    <row r="137" spans="1:21" ht="16.2" thickBot="1" x14ac:dyDescent="0.35">
      <c r="B137" s="181"/>
      <c r="C137" s="182"/>
      <c r="D137" s="182"/>
      <c r="E137" s="183"/>
      <c r="F137" s="182"/>
      <c r="G137" s="184"/>
      <c r="H137" s="184"/>
      <c r="I137" s="182"/>
      <c r="J137" s="182"/>
      <c r="K137" s="185"/>
      <c r="L137" s="185"/>
      <c r="M137" s="185"/>
    </row>
    <row r="138" spans="1:21" ht="13.8" thickBot="1" x14ac:dyDescent="0.3">
      <c r="B138" s="182"/>
      <c r="C138" s="182" t="s">
        <v>278</v>
      </c>
      <c r="D138" s="185"/>
      <c r="E138" s="186"/>
      <c r="F138" s="74">
        <v>10500</v>
      </c>
      <c r="G138" s="187" t="s">
        <v>279</v>
      </c>
      <c r="H138" s="74">
        <v>0.15</v>
      </c>
      <c r="I138" s="188" t="s">
        <v>280</v>
      </c>
      <c r="J138" s="185">
        <f>H138*F138</f>
        <v>1575</v>
      </c>
      <c r="K138" s="188" t="s">
        <v>57</v>
      </c>
      <c r="L138" s="185"/>
      <c r="M138" s="185"/>
    </row>
    <row r="139" spans="1:21" ht="13.8" thickBot="1" x14ac:dyDescent="0.3">
      <c r="B139" s="182"/>
      <c r="C139" s="182" t="s">
        <v>281</v>
      </c>
      <c r="D139" s="188">
        <f>F171/2</f>
        <v>51</v>
      </c>
      <c r="E139" s="182" t="s">
        <v>282</v>
      </c>
      <c r="F139" s="74">
        <f>+D139*8</f>
        <v>408</v>
      </c>
      <c r="G139" s="184" t="s">
        <v>256</v>
      </c>
      <c r="H139" s="74">
        <v>0.83</v>
      </c>
      <c r="I139" s="188" t="s">
        <v>257</v>
      </c>
      <c r="J139" s="185">
        <f>H139*F139</f>
        <v>338.64</v>
      </c>
      <c r="K139" s="188" t="s">
        <v>57</v>
      </c>
      <c r="L139" s="185"/>
      <c r="M139" s="185"/>
    </row>
    <row r="140" spans="1:21" ht="13.8" thickBot="1" x14ac:dyDescent="0.3">
      <c r="B140" s="182"/>
      <c r="C140" s="182" t="s">
        <v>283</v>
      </c>
      <c r="D140" s="188">
        <f>D139</f>
        <v>51</v>
      </c>
      <c r="E140" s="182" t="s">
        <v>282</v>
      </c>
      <c r="F140" s="74">
        <v>11.88</v>
      </c>
      <c r="G140" s="184" t="s">
        <v>212</v>
      </c>
      <c r="H140" s="74">
        <v>4</v>
      </c>
      <c r="I140" s="188" t="s">
        <v>206</v>
      </c>
      <c r="J140" s="185">
        <f t="shared" ref="J140:J144" si="14">H140*F140</f>
        <v>47.52</v>
      </c>
      <c r="K140" s="188" t="s">
        <v>57</v>
      </c>
      <c r="L140" s="185"/>
      <c r="M140" s="185"/>
    </row>
    <row r="141" spans="1:21" ht="13.8" thickBot="1" x14ac:dyDescent="0.3">
      <c r="B141" s="182"/>
      <c r="C141" s="182" t="s">
        <v>284</v>
      </c>
      <c r="D141" s="185"/>
      <c r="E141" s="188"/>
      <c r="F141" s="74">
        <v>200</v>
      </c>
      <c r="G141" s="184" t="s">
        <v>256</v>
      </c>
      <c r="H141" s="74">
        <v>1.53</v>
      </c>
      <c r="I141" s="188" t="s">
        <v>257</v>
      </c>
      <c r="J141" s="185">
        <f t="shared" si="14"/>
        <v>306</v>
      </c>
      <c r="K141" s="188" t="s">
        <v>57</v>
      </c>
      <c r="L141" s="185"/>
      <c r="M141" s="185"/>
    </row>
    <row r="142" spans="1:21" ht="13.8" thickBot="1" x14ac:dyDescent="0.3">
      <c r="B142" s="182"/>
      <c r="C142" s="182" t="s">
        <v>285</v>
      </c>
      <c r="D142" s="185"/>
      <c r="E142" s="188"/>
      <c r="F142" s="74"/>
      <c r="G142" s="184" t="s">
        <v>256</v>
      </c>
      <c r="H142" s="74"/>
      <c r="I142" s="188" t="s">
        <v>257</v>
      </c>
      <c r="J142" s="185">
        <f t="shared" si="14"/>
        <v>0</v>
      </c>
      <c r="K142" s="188" t="s">
        <v>57</v>
      </c>
      <c r="L142" s="185"/>
      <c r="M142" s="185"/>
    </row>
    <row r="143" spans="1:21" ht="13.8" thickBot="1" x14ac:dyDescent="0.3">
      <c r="B143" s="182"/>
      <c r="C143" s="182" t="s">
        <v>286</v>
      </c>
      <c r="D143" s="185"/>
      <c r="E143" s="188"/>
      <c r="F143" s="74"/>
      <c r="G143" s="184"/>
      <c r="H143" s="74"/>
      <c r="I143" s="188"/>
      <c r="J143" s="185">
        <f t="shared" si="14"/>
        <v>0</v>
      </c>
      <c r="K143" s="188" t="s">
        <v>57</v>
      </c>
      <c r="L143" s="185"/>
      <c r="M143" s="185"/>
    </row>
    <row r="144" spans="1:21" ht="13.8" thickBot="1" x14ac:dyDescent="0.3">
      <c r="B144" s="185"/>
      <c r="C144" s="182" t="s">
        <v>286</v>
      </c>
      <c r="D144" s="185"/>
      <c r="E144" s="185"/>
      <c r="F144" s="74"/>
      <c r="G144" s="185"/>
      <c r="H144" s="74"/>
      <c r="I144" s="185"/>
      <c r="J144" s="185">
        <f t="shared" si="14"/>
        <v>0</v>
      </c>
      <c r="K144" s="188" t="s">
        <v>57</v>
      </c>
      <c r="L144" s="185"/>
      <c r="M144" s="185"/>
    </row>
    <row r="145" spans="1:21" s="5" customFormat="1" x14ac:dyDescent="0.25">
      <c r="A145" s="305"/>
      <c r="B145" s="207"/>
      <c r="C145" s="207" t="s">
        <v>54</v>
      </c>
      <c r="D145" s="207"/>
      <c r="E145" s="207"/>
      <c r="F145" s="207"/>
      <c r="G145" s="207"/>
      <c r="H145" s="207"/>
      <c r="I145" s="207"/>
      <c r="J145" s="207">
        <f>SUM(J138:J144)</f>
        <v>2267.16</v>
      </c>
      <c r="K145" s="208" t="s">
        <v>57</v>
      </c>
      <c r="L145" s="207"/>
      <c r="M145" s="207"/>
    </row>
    <row r="146" spans="1:21" x14ac:dyDescent="0.25">
      <c r="B146" s="185"/>
      <c r="C146" s="185"/>
      <c r="D146" s="185"/>
      <c r="E146" s="185"/>
      <c r="F146" s="185"/>
      <c r="G146" s="185"/>
      <c r="H146" s="185"/>
      <c r="I146" s="185"/>
      <c r="J146" s="185"/>
      <c r="K146" s="185"/>
      <c r="L146" s="185"/>
      <c r="M146" s="185"/>
    </row>
    <row r="148" spans="1:21" ht="15.6" x14ac:dyDescent="0.3">
      <c r="B148" s="88" t="s">
        <v>287</v>
      </c>
      <c r="C148" s="79"/>
      <c r="D148" s="79"/>
      <c r="E148" s="79"/>
      <c r="F148" s="79"/>
      <c r="G148" s="79"/>
      <c r="H148" s="79"/>
      <c r="I148" s="79"/>
      <c r="J148" s="79"/>
      <c r="K148" s="79"/>
      <c r="L148" s="79"/>
      <c r="M148" s="79"/>
    </row>
    <row r="149" spans="1:21" ht="15.6" x14ac:dyDescent="0.3">
      <c r="B149" s="88"/>
      <c r="C149" s="79"/>
      <c r="D149" s="79"/>
      <c r="E149" s="79"/>
      <c r="F149" s="79"/>
      <c r="G149" s="79"/>
      <c r="H149" s="79"/>
      <c r="I149" s="79"/>
      <c r="J149" s="79"/>
      <c r="K149" s="79"/>
      <c r="L149" s="79"/>
      <c r="M149" s="79"/>
    </row>
    <row r="150" spans="1:21" ht="15" customHeight="1" x14ac:dyDescent="0.25">
      <c r="B150" s="1112" t="s">
        <v>499</v>
      </c>
      <c r="C150" s="1112"/>
      <c r="D150" s="1112"/>
      <c r="E150" s="1112"/>
      <c r="F150" s="1112"/>
      <c r="G150" s="1112"/>
      <c r="H150" s="1112"/>
      <c r="I150" s="1112"/>
      <c r="J150" s="1112"/>
      <c r="K150" s="1112"/>
      <c r="L150" s="1112"/>
      <c r="M150" s="1112"/>
    </row>
    <row r="151" spans="1:21" s="5" customFormat="1" ht="15.6" customHeight="1" x14ac:dyDescent="0.25">
      <c r="A151" s="305"/>
      <c r="B151" s="1112"/>
      <c r="C151" s="1112"/>
      <c r="D151" s="1112"/>
      <c r="E151" s="1112"/>
      <c r="F151" s="1112"/>
      <c r="G151" s="1112"/>
      <c r="H151" s="1112"/>
      <c r="I151" s="1112"/>
      <c r="J151" s="1112"/>
      <c r="K151" s="1112"/>
      <c r="L151" s="1112"/>
      <c r="M151" s="1112"/>
      <c r="N151"/>
      <c r="O151"/>
      <c r="P151"/>
      <c r="Q151"/>
      <c r="R151"/>
      <c r="S151"/>
      <c r="T151"/>
      <c r="U151"/>
    </row>
    <row r="152" spans="1:21" ht="15.6" x14ac:dyDescent="0.3">
      <c r="B152" s="88"/>
      <c r="C152" s="79"/>
      <c r="D152" s="79"/>
      <c r="E152" s="1069" t="s">
        <v>290</v>
      </c>
      <c r="F152" s="1069"/>
      <c r="G152" s="1069"/>
      <c r="H152" s="1070" t="s">
        <v>113</v>
      </c>
      <c r="I152" s="1070"/>
      <c r="J152" s="1069" t="s">
        <v>291</v>
      </c>
      <c r="K152" s="1069"/>
      <c r="L152" s="1070" t="s">
        <v>113</v>
      </c>
      <c r="M152" s="1070"/>
    </row>
    <row r="153" spans="1:21" ht="33" customHeight="1" thickBot="1" x14ac:dyDescent="0.3">
      <c r="B153" s="78"/>
      <c r="C153" s="79"/>
      <c r="D153" s="79"/>
      <c r="E153" s="79"/>
      <c r="F153" s="79"/>
      <c r="G153" s="79"/>
      <c r="H153" s="79"/>
      <c r="I153" s="79"/>
      <c r="J153" s="79"/>
      <c r="K153" s="79"/>
      <c r="L153" s="79"/>
      <c r="M153" s="79"/>
      <c r="N153" s="5"/>
      <c r="O153" s="5"/>
      <c r="P153" s="5"/>
      <c r="Q153" s="5"/>
      <c r="R153" s="5"/>
      <c r="S153" s="5"/>
      <c r="T153" s="5"/>
      <c r="U153" s="5"/>
    </row>
    <row r="154" spans="1:21" ht="13.8" thickBot="1" x14ac:dyDescent="0.3">
      <c r="B154" s="79"/>
      <c r="C154" s="80" t="s">
        <v>292</v>
      </c>
      <c r="D154" s="79"/>
      <c r="E154" s="79"/>
      <c r="F154" s="91">
        <v>2</v>
      </c>
      <c r="G154" s="82" t="s">
        <v>293</v>
      </c>
      <c r="H154" s="93">
        <v>14.5</v>
      </c>
      <c r="I154" s="82" t="s">
        <v>294</v>
      </c>
      <c r="J154" s="92"/>
      <c r="K154" s="82" t="s">
        <v>293</v>
      </c>
      <c r="L154" s="93">
        <v>14.5</v>
      </c>
      <c r="M154" s="82" t="s">
        <v>294</v>
      </c>
    </row>
    <row r="155" spans="1:21" ht="13.8" thickBot="1" x14ac:dyDescent="0.3">
      <c r="B155" s="79"/>
      <c r="C155" s="80" t="s">
        <v>500</v>
      </c>
      <c r="D155" s="79"/>
      <c r="E155" s="79"/>
      <c r="F155" s="91">
        <v>2</v>
      </c>
      <c r="G155" s="82" t="s">
        <v>293</v>
      </c>
      <c r="H155" s="90">
        <f>$H$154</f>
        <v>14.5</v>
      </c>
      <c r="I155" s="82" t="s">
        <v>294</v>
      </c>
      <c r="J155" s="92"/>
      <c r="K155" s="82" t="s">
        <v>293</v>
      </c>
      <c r="L155" s="90">
        <f>$L$154</f>
        <v>14.5</v>
      </c>
      <c r="M155" s="82" t="s">
        <v>294</v>
      </c>
    </row>
    <row r="156" spans="1:21" ht="13.8" thickBot="1" x14ac:dyDescent="0.3">
      <c r="B156" s="79"/>
      <c r="C156" s="80" t="s">
        <v>297</v>
      </c>
      <c r="D156" s="79"/>
      <c r="E156" s="79"/>
      <c r="F156" s="91">
        <v>2</v>
      </c>
      <c r="G156" s="82" t="s">
        <v>293</v>
      </c>
      <c r="H156" s="90">
        <f t="shared" ref="H156:H170" si="15">$H$154</f>
        <v>14.5</v>
      </c>
      <c r="I156" s="82" t="s">
        <v>294</v>
      </c>
      <c r="J156" s="92"/>
      <c r="K156" s="82" t="s">
        <v>293</v>
      </c>
      <c r="L156" s="90">
        <f t="shared" ref="L156:L169" si="16">$L$154</f>
        <v>14.5</v>
      </c>
      <c r="M156" s="82" t="s">
        <v>294</v>
      </c>
    </row>
    <row r="157" spans="1:21" ht="13.8" thickBot="1" x14ac:dyDescent="0.3">
      <c r="B157" s="79"/>
      <c r="C157" s="80" t="s">
        <v>381</v>
      </c>
      <c r="D157" s="79"/>
      <c r="E157" s="79"/>
      <c r="F157" s="91">
        <v>4</v>
      </c>
      <c r="G157" s="82" t="s">
        <v>293</v>
      </c>
      <c r="H157" s="90">
        <f t="shared" si="15"/>
        <v>14.5</v>
      </c>
      <c r="I157" s="82" t="s">
        <v>294</v>
      </c>
      <c r="J157" s="92">
        <v>4</v>
      </c>
      <c r="K157" s="82" t="s">
        <v>293</v>
      </c>
      <c r="L157" s="90">
        <f t="shared" si="16"/>
        <v>14.5</v>
      </c>
      <c r="M157" s="82" t="s">
        <v>294</v>
      </c>
    </row>
    <row r="158" spans="1:21" ht="13.8" thickBot="1" x14ac:dyDescent="0.3">
      <c r="B158" s="79"/>
      <c r="C158" s="80" t="s">
        <v>501</v>
      </c>
      <c r="D158" s="79"/>
      <c r="E158" s="79"/>
      <c r="F158" s="91">
        <v>8</v>
      </c>
      <c r="G158" s="82" t="s">
        <v>293</v>
      </c>
      <c r="H158" s="90">
        <f t="shared" si="15"/>
        <v>14.5</v>
      </c>
      <c r="I158" s="82" t="s">
        <v>294</v>
      </c>
      <c r="J158" s="92"/>
      <c r="K158" s="82" t="s">
        <v>293</v>
      </c>
      <c r="L158" s="90">
        <f t="shared" si="16"/>
        <v>14.5</v>
      </c>
      <c r="M158" s="82" t="s">
        <v>294</v>
      </c>
    </row>
    <row r="159" spans="1:21" ht="13.8" thickBot="1" x14ac:dyDescent="0.3">
      <c r="B159" s="79"/>
      <c r="C159" s="80" t="s">
        <v>502</v>
      </c>
      <c r="D159" s="79"/>
      <c r="E159" s="79"/>
      <c r="F159" s="91">
        <v>4</v>
      </c>
      <c r="G159" s="82" t="s">
        <v>293</v>
      </c>
      <c r="H159" s="90">
        <f t="shared" si="15"/>
        <v>14.5</v>
      </c>
      <c r="I159" s="82" t="s">
        <v>294</v>
      </c>
      <c r="J159" s="92"/>
      <c r="K159" s="82" t="s">
        <v>293</v>
      </c>
      <c r="L159" s="90">
        <f t="shared" si="16"/>
        <v>14.5</v>
      </c>
      <c r="M159" s="82" t="s">
        <v>294</v>
      </c>
    </row>
    <row r="160" spans="1:21" s="5" customFormat="1" ht="13.8" thickBot="1" x14ac:dyDescent="0.3">
      <c r="A160" s="305"/>
      <c r="B160" s="79"/>
      <c r="C160" s="80" t="s">
        <v>503</v>
      </c>
      <c r="D160" s="79"/>
      <c r="E160" s="79"/>
      <c r="F160" s="91">
        <v>20</v>
      </c>
      <c r="G160" s="82" t="s">
        <v>293</v>
      </c>
      <c r="H160" s="90">
        <f t="shared" si="15"/>
        <v>14.5</v>
      </c>
      <c r="I160" s="82" t="s">
        <v>294</v>
      </c>
      <c r="J160" s="92"/>
      <c r="K160" s="82" t="s">
        <v>293</v>
      </c>
      <c r="L160" s="90">
        <f t="shared" si="16"/>
        <v>14.5</v>
      </c>
      <c r="M160" s="82" t="s">
        <v>294</v>
      </c>
      <c r="N160"/>
      <c r="O160"/>
      <c r="P160"/>
      <c r="Q160"/>
      <c r="R160"/>
      <c r="S160"/>
      <c r="T160"/>
      <c r="U160"/>
    </row>
    <row r="161" spans="2:21" ht="13.8" thickBot="1" x14ac:dyDescent="0.3">
      <c r="B161" s="79"/>
      <c r="C161" s="80" t="s">
        <v>504</v>
      </c>
      <c r="D161" s="79"/>
      <c r="E161" s="79"/>
      <c r="F161" s="91">
        <v>4</v>
      </c>
      <c r="G161" s="82" t="s">
        <v>293</v>
      </c>
      <c r="H161" s="90">
        <f t="shared" si="15"/>
        <v>14.5</v>
      </c>
      <c r="I161" s="82" t="s">
        <v>294</v>
      </c>
      <c r="J161" s="92"/>
      <c r="K161" s="82" t="s">
        <v>293</v>
      </c>
      <c r="L161" s="90">
        <f t="shared" si="16"/>
        <v>14.5</v>
      </c>
      <c r="M161" s="82" t="s">
        <v>294</v>
      </c>
    </row>
    <row r="162" spans="2:21" ht="13.8" thickBot="1" x14ac:dyDescent="0.3">
      <c r="B162" s="79"/>
      <c r="C162" s="80" t="s">
        <v>303</v>
      </c>
      <c r="D162" s="79"/>
      <c r="E162" s="79"/>
      <c r="F162" s="91">
        <v>8</v>
      </c>
      <c r="G162" s="82" t="s">
        <v>293</v>
      </c>
      <c r="H162" s="90">
        <f t="shared" si="15"/>
        <v>14.5</v>
      </c>
      <c r="I162" s="82" t="s">
        <v>294</v>
      </c>
      <c r="J162" s="92"/>
      <c r="K162" s="82" t="s">
        <v>293</v>
      </c>
      <c r="L162" s="90">
        <f t="shared" si="16"/>
        <v>14.5</v>
      </c>
      <c r="M162" s="82" t="s">
        <v>294</v>
      </c>
    </row>
    <row r="163" spans="2:21" ht="13.8" thickBot="1" x14ac:dyDescent="0.3">
      <c r="B163" s="79"/>
      <c r="C163" s="80" t="s">
        <v>505</v>
      </c>
      <c r="D163" s="79"/>
      <c r="E163" s="79"/>
      <c r="F163" s="91">
        <v>5</v>
      </c>
      <c r="G163" s="82" t="s">
        <v>293</v>
      </c>
      <c r="H163" s="90">
        <f t="shared" si="15"/>
        <v>14.5</v>
      </c>
      <c r="I163" s="82" t="s">
        <v>294</v>
      </c>
      <c r="J163" s="92">
        <v>10</v>
      </c>
      <c r="K163" s="82" t="s">
        <v>293</v>
      </c>
      <c r="L163" s="90">
        <f t="shared" si="16"/>
        <v>14.5</v>
      </c>
      <c r="M163" s="82" t="s">
        <v>294</v>
      </c>
    </row>
    <row r="164" spans="2:21" ht="13.8" thickBot="1" x14ac:dyDescent="0.3">
      <c r="B164" s="79"/>
      <c r="C164" s="80" t="s">
        <v>506</v>
      </c>
      <c r="D164" s="79"/>
      <c r="E164" s="79"/>
      <c r="F164" s="91">
        <v>5</v>
      </c>
      <c r="G164" s="82" t="s">
        <v>293</v>
      </c>
      <c r="H164" s="90">
        <f t="shared" si="15"/>
        <v>14.5</v>
      </c>
      <c r="I164" s="82" t="s">
        <v>294</v>
      </c>
      <c r="J164" s="92">
        <v>10</v>
      </c>
      <c r="K164" s="82" t="s">
        <v>293</v>
      </c>
      <c r="L164" s="90">
        <f t="shared" si="16"/>
        <v>14.5</v>
      </c>
      <c r="M164" s="82" t="s">
        <v>294</v>
      </c>
    </row>
    <row r="165" spans="2:21" ht="13.8" thickBot="1" x14ac:dyDescent="0.3">
      <c r="B165" s="79"/>
      <c r="C165" s="80" t="s">
        <v>458</v>
      </c>
      <c r="D165" s="79"/>
      <c r="E165" s="79"/>
      <c r="F165" s="91">
        <v>8</v>
      </c>
      <c r="G165" s="82" t="s">
        <v>293</v>
      </c>
      <c r="H165" s="90">
        <f t="shared" si="15"/>
        <v>14.5</v>
      </c>
      <c r="I165" s="82" t="s">
        <v>294</v>
      </c>
      <c r="J165" s="92"/>
      <c r="K165" s="82" t="s">
        <v>293</v>
      </c>
      <c r="L165" s="90">
        <f t="shared" si="16"/>
        <v>14.5</v>
      </c>
      <c r="M165" s="82" t="s">
        <v>294</v>
      </c>
    </row>
    <row r="166" spans="2:21" ht="13.8" thickBot="1" x14ac:dyDescent="0.3">
      <c r="B166" s="79"/>
      <c r="C166" s="80" t="s">
        <v>306</v>
      </c>
      <c r="D166" s="79"/>
      <c r="E166" s="79"/>
      <c r="F166" s="92">
        <v>20</v>
      </c>
      <c r="G166" s="82" t="s">
        <v>293</v>
      </c>
      <c r="H166" s="90">
        <f t="shared" si="15"/>
        <v>14.5</v>
      </c>
      <c r="I166" s="82" t="s">
        <v>294</v>
      </c>
      <c r="J166" s="92">
        <v>30</v>
      </c>
      <c r="K166" s="82" t="s">
        <v>293</v>
      </c>
      <c r="L166" s="90">
        <f t="shared" si="16"/>
        <v>14.5</v>
      </c>
      <c r="M166" s="82" t="s">
        <v>294</v>
      </c>
    </row>
    <row r="167" spans="2:21" ht="13.8" thickBot="1" x14ac:dyDescent="0.3">
      <c r="B167" s="79"/>
      <c r="C167" s="80" t="s">
        <v>307</v>
      </c>
      <c r="D167" s="79"/>
      <c r="E167" s="79"/>
      <c r="F167" s="92">
        <v>10</v>
      </c>
      <c r="G167" s="82" t="s">
        <v>293</v>
      </c>
      <c r="H167" s="90">
        <f t="shared" si="15"/>
        <v>14.5</v>
      </c>
      <c r="I167" s="82" t="s">
        <v>294</v>
      </c>
      <c r="J167" s="92"/>
      <c r="K167" s="82" t="s">
        <v>293</v>
      </c>
      <c r="L167" s="90">
        <f t="shared" si="16"/>
        <v>14.5</v>
      </c>
      <c r="M167" s="82" t="s">
        <v>294</v>
      </c>
    </row>
    <row r="168" spans="2:21" ht="13.8" thickBot="1" x14ac:dyDescent="0.3">
      <c r="B168" s="79"/>
      <c r="C168" s="80" t="s">
        <v>308</v>
      </c>
      <c r="D168" s="79"/>
      <c r="E168" s="79"/>
      <c r="F168" s="92"/>
      <c r="G168" s="82" t="s">
        <v>293</v>
      </c>
      <c r="H168" s="90">
        <f t="shared" si="15"/>
        <v>14.5</v>
      </c>
      <c r="I168" s="82" t="s">
        <v>294</v>
      </c>
      <c r="J168" s="75"/>
      <c r="K168" s="82" t="s">
        <v>293</v>
      </c>
      <c r="L168" s="90">
        <f t="shared" si="16"/>
        <v>14.5</v>
      </c>
      <c r="M168" s="82" t="s">
        <v>294</v>
      </c>
    </row>
    <row r="169" spans="2:21" ht="13.8" thickBot="1" x14ac:dyDescent="0.3">
      <c r="B169" s="79"/>
      <c r="C169" s="80" t="s">
        <v>308</v>
      </c>
      <c r="D169" s="79"/>
      <c r="E169" s="79"/>
      <c r="F169" s="92"/>
      <c r="G169" s="82" t="s">
        <v>293</v>
      </c>
      <c r="H169" s="90">
        <f t="shared" si="15"/>
        <v>14.5</v>
      </c>
      <c r="I169" s="82" t="s">
        <v>294</v>
      </c>
      <c r="J169" s="75"/>
      <c r="K169" s="82" t="s">
        <v>293</v>
      </c>
      <c r="L169" s="90">
        <f t="shared" si="16"/>
        <v>14.5</v>
      </c>
      <c r="M169" s="82" t="s">
        <v>294</v>
      </c>
    </row>
    <row r="170" spans="2:21" ht="13.8" thickBot="1" x14ac:dyDescent="0.3">
      <c r="B170" s="79"/>
      <c r="C170" s="80" t="s">
        <v>308</v>
      </c>
      <c r="D170" s="81"/>
      <c r="E170" s="81"/>
      <c r="F170" s="75"/>
      <c r="G170" s="82" t="s">
        <v>293</v>
      </c>
      <c r="H170" s="90">
        <f t="shared" si="15"/>
        <v>14.5</v>
      </c>
      <c r="I170" s="82" t="s">
        <v>294</v>
      </c>
      <c r="J170" s="75"/>
      <c r="K170" s="82" t="s">
        <v>293</v>
      </c>
      <c r="L170" s="90">
        <f>$L$154</f>
        <v>14.5</v>
      </c>
      <c r="M170" s="82" t="s">
        <v>294</v>
      </c>
    </row>
    <row r="171" spans="2:21" x14ac:dyDescent="0.25">
      <c r="B171" s="209"/>
      <c r="C171" s="210" t="s">
        <v>54</v>
      </c>
      <c r="D171" s="211"/>
      <c r="E171" s="211"/>
      <c r="F171" s="212">
        <f>SUM(F154:F170)</f>
        <v>102</v>
      </c>
      <c r="G171" s="209" t="s">
        <v>293</v>
      </c>
      <c r="H171" s="213">
        <f>F171*H154</f>
        <v>1479</v>
      </c>
      <c r="I171" s="209" t="s">
        <v>57</v>
      </c>
      <c r="J171" s="212">
        <f>SUM(J154:J170)</f>
        <v>54</v>
      </c>
      <c r="K171" s="209" t="s">
        <v>293</v>
      </c>
      <c r="L171" s="213">
        <f>J171*L154</f>
        <v>783</v>
      </c>
      <c r="M171" s="209" t="s">
        <v>57</v>
      </c>
    </row>
    <row r="173" spans="2:21" ht="40.200000000000003" customHeight="1" x14ac:dyDescent="0.25">
      <c r="N173" s="5"/>
      <c r="O173" s="5"/>
      <c r="P173" s="5"/>
      <c r="Q173" s="5"/>
      <c r="R173" s="5"/>
      <c r="S173" s="5"/>
      <c r="T173" s="5"/>
      <c r="U173" s="5"/>
    </row>
    <row r="176" spans="2:21" ht="37.950000000000003" customHeight="1" x14ac:dyDescent="0.25"/>
    <row r="188" spans="1:21" s="5" customFormat="1" x14ac:dyDescent="0.25">
      <c r="A188" s="305"/>
      <c r="B188"/>
      <c r="C188"/>
      <c r="D188"/>
      <c r="E188"/>
      <c r="F188"/>
      <c r="G188"/>
      <c r="H188"/>
      <c r="I188"/>
      <c r="J188"/>
      <c r="K188"/>
      <c r="L188"/>
      <c r="M188"/>
      <c r="N188"/>
      <c r="O188"/>
      <c r="P188"/>
      <c r="Q188"/>
      <c r="R188"/>
      <c r="S188"/>
      <c r="T188"/>
      <c r="U188"/>
    </row>
    <row r="190" spans="1:21" x14ac:dyDescent="0.25">
      <c r="N190" s="5"/>
      <c r="O190" s="5"/>
      <c r="P190" s="5"/>
      <c r="Q190" s="5"/>
      <c r="R190" s="5"/>
      <c r="S190" s="5"/>
      <c r="T190" s="5"/>
      <c r="U190" s="5"/>
    </row>
  </sheetData>
  <mergeCells count="46">
    <mergeCell ref="L152:M152"/>
    <mergeCell ref="B150:M151"/>
    <mergeCell ref="F107:G107"/>
    <mergeCell ref="H107:I107"/>
    <mergeCell ref="J107:K107"/>
    <mergeCell ref="F120:G120"/>
    <mergeCell ref="H120:I120"/>
    <mergeCell ref="J120:K120"/>
    <mergeCell ref="F128:G128"/>
    <mergeCell ref="H128:I128"/>
    <mergeCell ref="J128:K128"/>
    <mergeCell ref="E152:G152"/>
    <mergeCell ref="H152:I152"/>
    <mergeCell ref="J152:K152"/>
    <mergeCell ref="F76:G76"/>
    <mergeCell ref="H76:I76"/>
    <mergeCell ref="J76:K76"/>
    <mergeCell ref="F86:G86"/>
    <mergeCell ref="H86:I86"/>
    <mergeCell ref="J86:K86"/>
    <mergeCell ref="B64:D64"/>
    <mergeCell ref="L69:M69"/>
    <mergeCell ref="F71:G71"/>
    <mergeCell ref="H71:I71"/>
    <mergeCell ref="J71:K71"/>
    <mergeCell ref="T9:U9"/>
    <mergeCell ref="B11:D11"/>
    <mergeCell ref="O18:Q18"/>
    <mergeCell ref="B26:E26"/>
    <mergeCell ref="B27:E27"/>
    <mergeCell ref="B28:D28"/>
    <mergeCell ref="B69:E69"/>
    <mergeCell ref="B2:C2"/>
    <mergeCell ref="B4:L4"/>
    <mergeCell ref="O9:Q9"/>
    <mergeCell ref="B66:D66"/>
    <mergeCell ref="B31:C31"/>
    <mergeCell ref="C34:D34"/>
    <mergeCell ref="B38:D38"/>
    <mergeCell ref="C41:D41"/>
    <mergeCell ref="B45:D45"/>
    <mergeCell ref="C48:D48"/>
    <mergeCell ref="B52:C52"/>
    <mergeCell ref="C55:D55"/>
    <mergeCell ref="B57:D57"/>
    <mergeCell ref="B62:D62"/>
  </mergeCells>
  <hyperlinks>
    <hyperlink ref="B2" location="Tilakokonaisuus!A1" display="PALAA ETUSIVULLE" xr:uid="{E2E3CFB8-BCEF-6347-B142-9336B6C13975}"/>
    <hyperlink ref="B2:C2" location="'Gårdens info'!A1" display="TILL FRAMSIDAN" xr:uid="{E13AEB4A-5186-3D46-9B7A-C5045068966B}"/>
    <hyperlink ref="B26:E26" location="'Gårdens info'!C97" display="ALMÄNNA KOSTNADER, lökens andel" xr:uid="{C6EA9EDA-00A2-4149-822D-1552753D343B}"/>
    <hyperlink ref="B31:C31" location="Omaisuus!B15" display="RAKENNUKSET" xr:uid="{82800F93-2092-AA41-A487-C8764B7DA1F1}"/>
    <hyperlink ref="B38:D38" location="Omaisuus!B28" display="KONEET JA KALUSTO" xr:uid="{34031F85-53F6-3849-BC35-7D2D876A6A2A}"/>
    <hyperlink ref="B45:D45" location="Omaisuus!B51" display="PIDEMPIAIKAISET TUOTANTOVÄLINEET" xr:uid="{9DEF75D5-B6A9-8B45-8A4D-075D5C8B75C2}"/>
    <hyperlink ref="B52:C52" location="Omaisuus!B70" display="SALAOJAT" xr:uid="{74F09362-E661-7543-84F2-8B9A2BBB13CB}"/>
    <hyperlink ref="L69" location="'Avomaan mansikka'!B2" display="PALAA SIVUN YLÄLAITAAN" xr:uid="{9A7CC5C4-33F6-CF40-8B96-A422742A66CF}"/>
    <hyperlink ref="L69:M69" location="Sättlök!A1" display="TILL SIDANS BÖRJAN" xr:uid="{9E4F0698-EBD1-8B49-8D24-EB0F9169D557}"/>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90DAA-BCAD-F34B-A4E2-B70FBDF34814}">
  <sheetPr>
    <tabColor theme="6" tint="-0.249977111117893"/>
  </sheetPr>
  <dimension ref="A1:AC188"/>
  <sheetViews>
    <sheetView topLeftCell="B6" zoomScale="66" zoomScaleNormal="80" workbookViewId="0">
      <selection activeCell="B6" sqref="B6"/>
    </sheetView>
  </sheetViews>
  <sheetFormatPr defaultColWidth="11.44140625" defaultRowHeight="13.2" x14ac:dyDescent="0.25"/>
  <cols>
    <col min="1" max="1" width="5.33203125" style="574" customWidth="1"/>
    <col min="3" max="3" width="16.6640625" customWidth="1"/>
    <col min="4" max="4" width="22.6640625" customWidth="1"/>
    <col min="5" max="5" width="12.109375" bestFit="1" customWidth="1"/>
    <col min="6" max="6" width="20.6640625" bestFit="1" customWidth="1"/>
    <col min="7" max="7" width="6.33203125" customWidth="1"/>
    <col min="8" max="8" width="16.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s>
  <sheetData>
    <row r="1" spans="1:21" s="574" customFormat="1" ht="22.8" x14ac:dyDescent="0.4">
      <c r="B1" s="582" t="s">
        <v>507</v>
      </c>
    </row>
    <row r="2" spans="1:21" ht="27" customHeight="1" x14ac:dyDescent="0.3">
      <c r="B2" s="1094" t="s">
        <v>201</v>
      </c>
      <c r="C2" s="1094"/>
      <c r="F2" s="69"/>
      <c r="G2" s="69"/>
      <c r="H2" s="69"/>
    </row>
    <row r="3" spans="1:21" ht="27" customHeight="1" x14ac:dyDescent="0.3">
      <c r="B3" s="189"/>
      <c r="C3" s="189"/>
    </row>
    <row r="4" spans="1:21" ht="17.399999999999999" customHeight="1" x14ac:dyDescent="0.25">
      <c r="B4" s="1113" t="s">
        <v>375</v>
      </c>
      <c r="C4" s="1113"/>
      <c r="D4" s="1113"/>
      <c r="E4" s="1113"/>
      <c r="F4" s="1113"/>
      <c r="G4" s="1113"/>
      <c r="H4" s="1113"/>
      <c r="I4" s="1113"/>
      <c r="J4" s="1113"/>
      <c r="K4" s="1113"/>
      <c r="L4" s="1113"/>
    </row>
    <row r="5" spans="1:21" ht="27" customHeight="1" thickBot="1" x14ac:dyDescent="0.3">
      <c r="B5" s="1114"/>
      <c r="C5" s="1114"/>
      <c r="D5" s="1114"/>
      <c r="E5" s="1114"/>
      <c r="F5" s="1114"/>
      <c r="G5" s="1114"/>
      <c r="H5" s="1114"/>
      <c r="I5" s="1114"/>
      <c r="J5" s="1114"/>
      <c r="K5" s="1114"/>
      <c r="L5" s="1114"/>
    </row>
    <row r="6" spans="1:21" ht="27" customHeight="1" x14ac:dyDescent="0.4">
      <c r="B6" s="256" t="s">
        <v>508</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IF('Gårdens info'!D16&gt;0,H9*'Gårdens info'!G16,0)</f>
        <v>15200</v>
      </c>
      <c r="G9" s="119" t="s">
        <v>57</v>
      </c>
      <c r="H9" s="508">
        <f>IF('Gårdens info'!G16&gt;0,(('Gårdens info'!D16*'Gårdens info'!G16*S10*T10)+('Gårdens info'!D16*'Gårdens info'!G16*S11*T11)+('Gårdens info'!D16*'Gårdens info'!G16*S12*T12)+('Gårdens info'!D16*'Gårdens info'!G16*S13*T13)+('Gårdens info'!D16*'Gårdens info'!G16*S14*T14)+('Gårdens info'!D16*'Gårdens info'!G16*S15*T15)+('Gårdens info'!D16*'Gårdens info'!G16*S16*T16)+('Gårdens info'!D16*'Gårdens info'!G16*S17*T17))/(('Gårdens info'!D16*'Gårdens info'!G16)),0)</f>
        <v>3.8</v>
      </c>
      <c r="I9" s="119" t="s">
        <v>206</v>
      </c>
      <c r="J9" s="229">
        <f>F9*'Gårdens info'!D16</f>
        <v>30400</v>
      </c>
      <c r="K9" s="119" t="s">
        <v>509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info'!D16&gt;0,Stöd!L14,0)</f>
        <v>459.1</v>
      </c>
      <c r="G10" s="119" t="s">
        <v>57</v>
      </c>
      <c r="H10" s="508">
        <f>IF('Gårdens info'!G16&gt;0,F10/'Gårdens info'!G16,0)</f>
        <v>0.114775</v>
      </c>
      <c r="I10" s="119" t="s">
        <v>206</v>
      </c>
      <c r="J10" s="229">
        <f>F10*'Gårdens info'!D16</f>
        <v>918.2</v>
      </c>
      <c r="K10" s="119" t="s">
        <v>509</v>
      </c>
      <c r="L10" s="119"/>
      <c r="M10" s="226"/>
      <c r="N10" s="369"/>
      <c r="O10" s="119">
        <v>1</v>
      </c>
      <c r="P10" s="119" t="s">
        <v>212</v>
      </c>
      <c r="Q10" s="119" t="s">
        <v>510</v>
      </c>
      <c r="R10" s="119"/>
      <c r="S10" s="377">
        <v>1</v>
      </c>
      <c r="T10" s="255">
        <v>3.8</v>
      </c>
      <c r="U10" s="239" t="s">
        <v>206</v>
      </c>
    </row>
    <row r="11" spans="1:21" s="5" customFormat="1" ht="21.6" thickBot="1" x14ac:dyDescent="0.45">
      <c r="A11" s="575"/>
      <c r="B11" s="1061" t="s">
        <v>214</v>
      </c>
      <c r="C11" s="1043"/>
      <c r="D11" s="1043"/>
      <c r="E11" s="262"/>
      <c r="F11" s="266">
        <f>F9+F10</f>
        <v>15659.1</v>
      </c>
      <c r="G11" s="267" t="s">
        <v>57</v>
      </c>
      <c r="H11" s="507">
        <f>H9+H10</f>
        <v>3.9147749999999997</v>
      </c>
      <c r="I11" s="267" t="s">
        <v>206</v>
      </c>
      <c r="J11" s="269">
        <f>J9+J10</f>
        <v>31318.2</v>
      </c>
      <c r="K11" s="267" t="s">
        <v>509</v>
      </c>
      <c r="L11" s="267"/>
      <c r="M11" s="259"/>
      <c r="N11" s="370"/>
      <c r="O11" s="119">
        <v>0.25</v>
      </c>
      <c r="P11" s="119" t="s">
        <v>212</v>
      </c>
      <c r="Q11" s="119" t="s">
        <v>333</v>
      </c>
      <c r="R11" s="119"/>
      <c r="S11" s="379">
        <v>0</v>
      </c>
      <c r="T11" s="255"/>
      <c r="U11" s="239" t="s">
        <v>206</v>
      </c>
    </row>
    <row r="12" spans="1:21" s="5" customFormat="1" ht="21.6" thickBot="1" x14ac:dyDescent="0.45">
      <c r="A12" s="575"/>
      <c r="B12" s="288"/>
      <c r="C12" s="270"/>
      <c r="D12" s="270"/>
      <c r="E12" s="262"/>
      <c r="F12" s="266"/>
      <c r="G12" s="267"/>
      <c r="H12" s="268"/>
      <c r="I12" s="267"/>
      <c r="J12" s="269"/>
      <c r="K12" s="267"/>
      <c r="L12" s="267"/>
      <c r="M12" s="259"/>
      <c r="N12" s="370"/>
      <c r="O12" s="119">
        <v>0.5</v>
      </c>
      <c r="P12" s="119" t="s">
        <v>212</v>
      </c>
      <c r="Q12" s="119" t="s">
        <v>213</v>
      </c>
      <c r="R12" s="119"/>
      <c r="S12" s="379">
        <v>0</v>
      </c>
      <c r="T12" s="255"/>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0</v>
      </c>
      <c r="T13" s="255"/>
      <c r="U13" s="239" t="s">
        <v>206</v>
      </c>
    </row>
    <row r="14" spans="1:21" ht="21.6" thickBot="1" x14ac:dyDescent="0.45">
      <c r="B14" s="257" t="s">
        <v>186</v>
      </c>
      <c r="C14" s="225"/>
      <c r="D14" s="116"/>
      <c r="E14" s="116"/>
      <c r="F14" s="116"/>
      <c r="G14" s="116"/>
      <c r="H14" s="116"/>
      <c r="I14" s="116"/>
      <c r="J14" s="232"/>
      <c r="K14" s="116"/>
      <c r="L14" s="116"/>
      <c r="M14" s="226"/>
      <c r="N14" s="369"/>
      <c r="O14" s="651">
        <f>D111</f>
        <v>0</v>
      </c>
      <c r="P14" s="119" t="s">
        <v>212</v>
      </c>
      <c r="Q14" s="298" t="s">
        <v>511</v>
      </c>
      <c r="R14" s="119"/>
      <c r="S14" s="379">
        <v>0</v>
      </c>
      <c r="T14" s="255"/>
      <c r="U14" s="239" t="s">
        <v>206</v>
      </c>
    </row>
    <row r="15" spans="1:21" s="56" customFormat="1" ht="16.95" customHeight="1" thickBot="1" x14ac:dyDescent="0.35">
      <c r="A15" s="576"/>
      <c r="B15" s="493"/>
      <c r="C15" s="245"/>
      <c r="D15" s="249"/>
      <c r="E15" s="249"/>
      <c r="F15" s="250"/>
      <c r="G15" s="120"/>
      <c r="H15" s="249"/>
      <c r="I15" s="249"/>
      <c r="J15" s="249"/>
      <c r="K15" s="249"/>
      <c r="L15" s="249"/>
      <c r="M15" s="234"/>
      <c r="N15" s="369"/>
      <c r="O15" s="651">
        <f t="shared" ref="O15:O17" si="0">D112</f>
        <v>0</v>
      </c>
      <c r="P15" s="119" t="s">
        <v>212</v>
      </c>
      <c r="Q15" s="298" t="s">
        <v>511</v>
      </c>
      <c r="R15" s="119"/>
      <c r="S15" s="379">
        <v>0</v>
      </c>
      <c r="T15" s="255"/>
      <c r="U15" s="239" t="s">
        <v>206</v>
      </c>
    </row>
    <row r="16" spans="1:21" s="69" customFormat="1" ht="16.95" customHeight="1" thickBot="1" x14ac:dyDescent="0.3">
      <c r="A16" s="576"/>
      <c r="B16" s="493"/>
      <c r="C16" s="228" t="s">
        <v>218</v>
      </c>
      <c r="D16" s="236"/>
      <c r="E16" s="236"/>
      <c r="F16" s="247">
        <f>IF('Gårdens info'!D16&gt;0,J73,0)</f>
        <v>315</v>
      </c>
      <c r="G16" s="119" t="s">
        <v>57</v>
      </c>
      <c r="H16" s="503">
        <f>IF('Gårdens info'!$G$16&gt;0,F16/'Gårdens info'!$G$16,0)</f>
        <v>7.8750000000000001E-2</v>
      </c>
      <c r="I16" s="119" t="s">
        <v>206</v>
      </c>
      <c r="J16" s="237">
        <f>F16*'Gårdens info'!$D$16</f>
        <v>630</v>
      </c>
      <c r="K16" s="119" t="s">
        <v>509</v>
      </c>
      <c r="L16" s="236"/>
      <c r="M16" s="239"/>
      <c r="N16" s="227"/>
      <c r="O16" s="651">
        <f t="shared" si="0"/>
        <v>0</v>
      </c>
      <c r="P16" s="119" t="s">
        <v>212</v>
      </c>
      <c r="Q16" s="298" t="s">
        <v>511</v>
      </c>
      <c r="R16" s="119"/>
      <c r="S16" s="379">
        <v>0</v>
      </c>
      <c r="T16" s="255"/>
      <c r="U16" s="239" t="s">
        <v>206</v>
      </c>
    </row>
    <row r="17" spans="1:29" s="69" customFormat="1" ht="15.6" thickBot="1" x14ac:dyDescent="0.3">
      <c r="A17" s="576"/>
      <c r="B17" s="235"/>
      <c r="C17" s="228" t="s">
        <v>219</v>
      </c>
      <c r="D17" s="236"/>
      <c r="E17" s="236"/>
      <c r="F17" s="237">
        <f>IF('Gårdens info'!D16&gt;0,J82,0)</f>
        <v>884</v>
      </c>
      <c r="G17" s="119" t="s">
        <v>57</v>
      </c>
      <c r="H17" s="503">
        <f>IF('Gårdens info'!$G$16&gt;0,F17/'Gårdens info'!$G$16,0)</f>
        <v>0.221</v>
      </c>
      <c r="I17" s="119" t="s">
        <v>206</v>
      </c>
      <c r="J17" s="237">
        <f>F17*'Gårdens info'!$D$16</f>
        <v>1768</v>
      </c>
      <c r="K17" s="119" t="s">
        <v>509</v>
      </c>
      <c r="L17" s="236"/>
      <c r="M17" s="239"/>
      <c r="N17" s="369"/>
      <c r="O17" s="651">
        <f t="shared" si="0"/>
        <v>0</v>
      </c>
      <c r="P17" s="119" t="s">
        <v>212</v>
      </c>
      <c r="Q17" s="298" t="s">
        <v>511</v>
      </c>
      <c r="R17" s="119"/>
      <c r="S17" s="378">
        <v>0</v>
      </c>
      <c r="T17" s="255"/>
      <c r="U17" s="239" t="s">
        <v>206</v>
      </c>
    </row>
    <row r="18" spans="1:29" s="69" customFormat="1" ht="17.399999999999999" x14ac:dyDescent="0.3">
      <c r="A18" s="576"/>
      <c r="B18" s="235"/>
      <c r="C18" s="228" t="s">
        <v>220</v>
      </c>
      <c r="D18" s="236"/>
      <c r="E18" s="236"/>
      <c r="F18" s="237">
        <f>IF('Gårdens info'!D16&gt;0,J102,0)</f>
        <v>229.22</v>
      </c>
      <c r="G18" s="119" t="s">
        <v>57</v>
      </c>
      <c r="H18" s="503">
        <f>IF('Gårdens info'!$G$16&gt;0,F18/'Gårdens info'!$G$16,0)</f>
        <v>5.7305000000000002E-2</v>
      </c>
      <c r="I18" s="119" t="s">
        <v>206</v>
      </c>
      <c r="J18" s="237">
        <f>F18*'Gårdens info'!$D$16</f>
        <v>458.44</v>
      </c>
      <c r="K18" s="119" t="s">
        <v>509</v>
      </c>
      <c r="L18" s="236"/>
      <c r="M18" s="239"/>
      <c r="N18" s="371"/>
      <c r="O18" s="1088" t="s">
        <v>54</v>
      </c>
      <c r="P18" s="1088"/>
      <c r="Q18" s="1088"/>
      <c r="R18" s="120"/>
      <c r="S18" s="375">
        <f>SUM(S10:S17)</f>
        <v>1</v>
      </c>
      <c r="T18" s="120"/>
      <c r="U18" s="234"/>
    </row>
    <row r="19" spans="1:29" s="69" customFormat="1" ht="15.6" x14ac:dyDescent="0.3">
      <c r="A19" s="576"/>
      <c r="B19" s="235"/>
      <c r="C19" s="228" t="s">
        <v>221</v>
      </c>
      <c r="D19" s="236"/>
      <c r="E19" s="236"/>
      <c r="F19" s="237">
        <f>IF('Gårdens info'!D16&gt;0,J115,0)</f>
        <v>40</v>
      </c>
      <c r="G19" s="119" t="s">
        <v>57</v>
      </c>
      <c r="H19" s="503">
        <f>IF('Gårdens info'!$G$16&gt;0,F19/'Gårdens info'!$G$16,0)</f>
        <v>0.01</v>
      </c>
      <c r="I19" s="119" t="s">
        <v>206</v>
      </c>
      <c r="J19" s="237">
        <f>F19*'Gårdens info'!$D$16</f>
        <v>80</v>
      </c>
      <c r="K19" s="119" t="s">
        <v>509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576"/>
      <c r="B20" s="235"/>
      <c r="C20" s="228" t="s">
        <v>222</v>
      </c>
      <c r="D20" s="236"/>
      <c r="E20" s="236"/>
      <c r="F20" s="237">
        <f>IF('Gårdens info'!D16&gt;0,122,0)</f>
        <v>122</v>
      </c>
      <c r="G20" s="119" t="s">
        <v>57</v>
      </c>
      <c r="H20" s="503">
        <f>IF('Gårdens info'!$G$16&gt;0,F20/'Gårdens info'!$G$16,0)</f>
        <v>3.0499999999999999E-2</v>
      </c>
      <c r="I20" s="119" t="s">
        <v>206</v>
      </c>
      <c r="J20" s="237">
        <f>F20*'Gårdens info'!$D$16</f>
        <v>244</v>
      </c>
      <c r="K20" s="119" t="s">
        <v>509</v>
      </c>
      <c r="L20" s="236"/>
      <c r="M20" s="239"/>
      <c r="N20" s="372"/>
      <c r="O20" s="373"/>
      <c r="P20" s="373"/>
      <c r="Q20" s="373"/>
      <c r="R20" s="373"/>
      <c r="S20" s="373"/>
      <c r="T20" s="373"/>
      <c r="U20" s="374"/>
    </row>
    <row r="21" spans="1:29" s="69" customFormat="1" ht="15" x14ac:dyDescent="0.25">
      <c r="A21" s="576"/>
      <c r="B21" s="235"/>
      <c r="C21" s="228" t="s">
        <v>223</v>
      </c>
      <c r="D21" s="236"/>
      <c r="E21" s="236"/>
      <c r="F21" s="237">
        <f>IF('Gårdens info'!D16&gt;0,J131,0)</f>
        <v>0</v>
      </c>
      <c r="G21" s="119" t="s">
        <v>57</v>
      </c>
      <c r="H21" s="503">
        <f>IF('Gårdens info'!$G$16&gt;0,F21/'Gårdens info'!$G$16,0)</f>
        <v>0</v>
      </c>
      <c r="I21" s="119" t="s">
        <v>206</v>
      </c>
      <c r="J21" s="237">
        <f>F21*'Gårdens info'!$D$16</f>
        <v>0</v>
      </c>
      <c r="K21" s="119" t="s">
        <v>509</v>
      </c>
      <c r="L21" s="236"/>
      <c r="M21" s="239"/>
    </row>
    <row r="22" spans="1:29" s="69" customFormat="1" ht="15" x14ac:dyDescent="0.25">
      <c r="A22" s="576"/>
      <c r="B22" s="235"/>
      <c r="C22" s="228" t="s">
        <v>224</v>
      </c>
      <c r="D22" s="236"/>
      <c r="E22" s="236"/>
      <c r="F22" s="237">
        <f>IF('Gårdens info'!D16&gt;0,J143,0)</f>
        <v>792.3599999999999</v>
      </c>
      <c r="G22" s="119" t="s">
        <v>57</v>
      </c>
      <c r="H22" s="503">
        <f>IF('Gårdens info'!$G$16&gt;0,F22/'Gårdens info'!$G$16,0)</f>
        <v>0.19808999999999999</v>
      </c>
      <c r="I22" s="119" t="s">
        <v>206</v>
      </c>
      <c r="J22" s="237">
        <f>F22*'Gårdens info'!$D$16</f>
        <v>1584.7199999999998</v>
      </c>
      <c r="K22" s="119" t="s">
        <v>509</v>
      </c>
      <c r="L22" s="236"/>
      <c r="M22" s="239"/>
    </row>
    <row r="23" spans="1:29" s="69" customFormat="1" ht="15" x14ac:dyDescent="0.25">
      <c r="A23" s="576"/>
      <c r="B23" s="235"/>
      <c r="C23" s="228" t="s">
        <v>225</v>
      </c>
      <c r="D23" s="236"/>
      <c r="E23" s="236"/>
      <c r="F23" s="237">
        <f>IF('Gårdens info'!D16&gt;0,L169,0)</f>
        <v>5800</v>
      </c>
      <c r="G23" s="119" t="s">
        <v>57</v>
      </c>
      <c r="H23" s="503">
        <f>IF('Gårdens info'!$G$16&gt;0,F23/'Gårdens info'!$G$16,0)</f>
        <v>1.45</v>
      </c>
      <c r="I23" s="119" t="s">
        <v>206</v>
      </c>
      <c r="J23" s="237">
        <f>F23*'Gårdens info'!$D$16</f>
        <v>11600</v>
      </c>
      <c r="K23" s="119" t="s">
        <v>509</v>
      </c>
      <c r="L23" s="236"/>
      <c r="M23" s="239"/>
    </row>
    <row r="24" spans="1:29" ht="15.6" x14ac:dyDescent="0.3">
      <c r="B24" s="251"/>
      <c r="C24" s="240" t="s">
        <v>54</v>
      </c>
      <c r="D24" s="241"/>
      <c r="E24" s="241"/>
      <c r="F24" s="242">
        <f>SUM(F16:F23)</f>
        <v>8182.58</v>
      </c>
      <c r="G24" s="243" t="s">
        <v>57</v>
      </c>
      <c r="H24" s="504">
        <f>SUM(H16:H23)</f>
        <v>2.0456449999999999</v>
      </c>
      <c r="I24" s="243" t="s">
        <v>206</v>
      </c>
      <c r="J24" s="242">
        <f>SUM(J16:J23)</f>
        <v>16365.16</v>
      </c>
      <c r="K24" s="243" t="s">
        <v>509</v>
      </c>
      <c r="L24" s="241"/>
      <c r="M24" s="252"/>
      <c r="N24" s="69"/>
      <c r="O24" s="69"/>
      <c r="P24" s="69"/>
      <c r="Q24" s="69"/>
      <c r="R24" s="69"/>
      <c r="S24" s="69"/>
      <c r="T24" s="69"/>
      <c r="U24" s="69"/>
    </row>
    <row r="25" spans="1:29" s="56" customFormat="1" ht="17.399999999999999" x14ac:dyDescent="0.3">
      <c r="A25" s="577"/>
      <c r="B25" s="231"/>
      <c r="C25" s="245"/>
      <c r="D25" s="246"/>
      <c r="E25" s="246"/>
      <c r="F25" s="247"/>
      <c r="G25" s="119"/>
      <c r="H25" s="505"/>
      <c r="I25" s="246"/>
      <c r="J25" s="246"/>
      <c r="K25" s="246"/>
      <c r="L25" s="246"/>
      <c r="M25" s="226"/>
      <c r="N25" s="69"/>
      <c r="O25" s="69"/>
      <c r="P25" s="69"/>
      <c r="R25" s="69"/>
      <c r="S25" s="69"/>
      <c r="T25" s="69"/>
      <c r="U25" s="69"/>
      <c r="AB25" s="449" t="s">
        <v>512</v>
      </c>
      <c r="AC25" s="561">
        <f>F16</f>
        <v>315</v>
      </c>
    </row>
    <row r="26" spans="1:29" s="69" customFormat="1" ht="17.399999999999999" x14ac:dyDescent="0.3">
      <c r="A26" s="576"/>
      <c r="B26" s="1089" t="s">
        <v>513</v>
      </c>
      <c r="C26" s="1090"/>
      <c r="D26" s="1090"/>
      <c r="E26" s="1090"/>
      <c r="F26" s="263">
        <f>IF('Gårdens info'!D16&gt;0,J26/'Gårdens info'!D16,0)</f>
        <v>238.29787234042553</v>
      </c>
      <c r="G26" s="243" t="s">
        <v>57</v>
      </c>
      <c r="H26" s="506">
        <f>IF('Gårdens info'!G16&gt;0,F26/'Gårdens info'!G16,0)</f>
        <v>5.9574468085106379E-2</v>
      </c>
      <c r="I26" s="243" t="s">
        <v>206</v>
      </c>
      <c r="J26" s="258">
        <f>'Gårdens info'!G163/'Gårdens info'!D43*'Gårdens info'!D16</f>
        <v>476.59574468085106</v>
      </c>
      <c r="K26" s="243" t="s">
        <v>509</v>
      </c>
      <c r="L26" s="265"/>
      <c r="M26" s="259"/>
      <c r="N26"/>
      <c r="O26"/>
      <c r="P26"/>
      <c r="S26"/>
      <c r="T26"/>
      <c r="U26"/>
      <c r="AB26" s="382" t="str">
        <f t="shared" ref="AB26:AB32" si="1">C17</f>
        <v>Gödsel och kalk</v>
      </c>
      <c r="AC26" s="561">
        <f t="shared" ref="AC26:AC32" si="2">F17</f>
        <v>884</v>
      </c>
    </row>
    <row r="27" spans="1:29" s="69" customFormat="1" ht="21.6" customHeight="1" x14ac:dyDescent="0.3">
      <c r="A27" s="576"/>
      <c r="B27" s="1091" t="s">
        <v>514</v>
      </c>
      <c r="C27" s="1092"/>
      <c r="D27" s="1092"/>
      <c r="E27" s="1092"/>
      <c r="F27" s="263">
        <f>IF('Gårdens info'!D16&gt;0,J27/'Gårdens info'!D16,0)</f>
        <v>187.2340425531915</v>
      </c>
      <c r="G27" s="243" t="s">
        <v>57</v>
      </c>
      <c r="H27" s="506">
        <f>IF('Gårdens info'!G16&gt;0,F27/'Gårdens info'!G16,0)</f>
        <v>4.6808510638297877E-2</v>
      </c>
      <c r="I27" s="243" t="s">
        <v>206</v>
      </c>
      <c r="J27" s="258">
        <f>'Gårdens info'!$D$48/'Gårdens info'!$D$49*'Gårdens info'!$G$48*'Gårdens info'!D16</f>
        <v>374.468085106383</v>
      </c>
      <c r="K27" s="243" t="s">
        <v>509</v>
      </c>
      <c r="L27" s="265"/>
      <c r="M27" s="259"/>
      <c r="N27" s="56"/>
      <c r="O27" s="56"/>
      <c r="P27" s="56"/>
      <c r="S27" s="56"/>
      <c r="T27" s="56"/>
      <c r="U27" s="56"/>
      <c r="AB27" s="382" t="str">
        <f t="shared" si="1"/>
        <v>IPM Växtskydd</v>
      </c>
      <c r="AC27" s="561">
        <f t="shared" si="2"/>
        <v>229.22</v>
      </c>
    </row>
    <row r="28" spans="1:29" s="69" customFormat="1" ht="21" x14ac:dyDescent="0.4">
      <c r="A28" s="576"/>
      <c r="B28" s="1061" t="s">
        <v>189</v>
      </c>
      <c r="C28" s="1043"/>
      <c r="D28" s="1043"/>
      <c r="E28" s="262"/>
      <c r="F28" s="266">
        <f>F24+F26+F27</f>
        <v>8608.1119148936159</v>
      </c>
      <c r="G28" s="267" t="s">
        <v>57</v>
      </c>
      <c r="H28" s="507">
        <f>H24+H26+H27</f>
        <v>2.152027978723404</v>
      </c>
      <c r="I28" s="267" t="s">
        <v>206</v>
      </c>
      <c r="J28" s="269">
        <f>J24+J26+J27</f>
        <v>17216.223829787232</v>
      </c>
      <c r="K28" s="267" t="s">
        <v>509</v>
      </c>
      <c r="L28" s="267"/>
      <c r="M28" s="259"/>
      <c r="AB28" s="382" t="str">
        <f t="shared" si="1"/>
        <v>Packningsmaterial</v>
      </c>
      <c r="AC28" s="561">
        <f t="shared" si="2"/>
        <v>40</v>
      </c>
    </row>
    <row r="29" spans="1:29" s="69" customFormat="1" ht="21" x14ac:dyDescent="0.4">
      <c r="A29" s="576"/>
      <c r="B29" s="288"/>
      <c r="C29" s="270"/>
      <c r="D29" s="270"/>
      <c r="E29" s="262"/>
      <c r="F29" s="266"/>
      <c r="G29" s="267"/>
      <c r="H29" s="268"/>
      <c r="I29" s="267"/>
      <c r="J29" s="269"/>
      <c r="K29" s="267"/>
      <c r="L29" s="267"/>
      <c r="M29" s="259"/>
      <c r="AB29" s="382" t="str">
        <f t="shared" si="1"/>
        <v>Fraktkostnader</v>
      </c>
      <c r="AC29" s="561">
        <f t="shared" si="2"/>
        <v>122</v>
      </c>
    </row>
    <row r="30" spans="1:29" s="69" customFormat="1" ht="21" x14ac:dyDescent="0.4">
      <c r="A30" s="576"/>
      <c r="B30" s="257" t="s">
        <v>515</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576"/>
      <c r="B31" s="1081" t="s">
        <v>69</v>
      </c>
      <c r="C31" s="1082"/>
      <c r="D31" s="270"/>
      <c r="E31" s="262"/>
      <c r="F31" s="266"/>
      <c r="G31" s="267"/>
      <c r="H31" s="268"/>
      <c r="I31" s="267"/>
      <c r="J31" s="269"/>
      <c r="K31" s="267"/>
      <c r="L31" s="267"/>
      <c r="M31" s="259"/>
      <c r="AB31" s="382" t="str">
        <f t="shared" si="1"/>
        <v>Energikostnader</v>
      </c>
      <c r="AC31" s="561">
        <f t="shared" si="2"/>
        <v>792.3599999999999</v>
      </c>
    </row>
    <row r="32" spans="1:29" s="69" customFormat="1" ht="21" x14ac:dyDescent="0.4">
      <c r="A32" s="576"/>
      <c r="B32" s="287"/>
      <c r="C32" s="941" t="s">
        <v>229</v>
      </c>
      <c r="D32" s="942"/>
      <c r="E32" s="262"/>
      <c r="F32" s="276">
        <f>IF('Gårdens info'!$D$16&gt;0,J32/'Gårdens info'!$D$16,0)</f>
        <v>1589.4192064404831</v>
      </c>
      <c r="G32" s="119" t="s">
        <v>57</v>
      </c>
      <c r="H32" s="502">
        <f>IF('Gårdens info'!$G$16&gt;0,F32/'Gårdens info'!$G$16,0)</f>
        <v>0.39735480161012077</v>
      </c>
      <c r="I32" s="119" t="s">
        <v>206</v>
      </c>
      <c r="J32" s="237">
        <f>Egendom!AK25</f>
        <v>3178.8384128809662</v>
      </c>
      <c r="K32" s="119" t="s">
        <v>509</v>
      </c>
      <c r="L32" s="267"/>
      <c r="M32" s="259"/>
      <c r="AB32" s="382" t="str">
        <f t="shared" si="1"/>
        <v>Anställd arbetskraft</v>
      </c>
      <c r="AC32" s="561">
        <f t="shared" si="2"/>
        <v>5800</v>
      </c>
    </row>
    <row r="33" spans="1:29" s="192" customFormat="1" ht="21" x14ac:dyDescent="0.4">
      <c r="A33" s="578"/>
      <c r="B33" s="287"/>
      <c r="C33" s="941" t="s">
        <v>230</v>
      </c>
      <c r="D33" s="942"/>
      <c r="E33" s="262"/>
      <c r="F33" s="276">
        <f>IF('Gårdens info'!$D$16&gt;0,J33/'Gårdens info'!$D$16,0)</f>
        <v>993.38700402530185</v>
      </c>
      <c r="G33" s="119" t="s">
        <v>57</v>
      </c>
      <c r="H33" s="502">
        <f>IF('Gårdens info'!$G$16&gt;0,F33/'Gårdens info'!$G$16,0)</f>
        <v>0.24834675100632547</v>
      </c>
      <c r="I33" s="119" t="s">
        <v>206</v>
      </c>
      <c r="J33" s="237">
        <f>Egendom!BI25</f>
        <v>1986.7740080506037</v>
      </c>
      <c r="K33" s="119" t="s">
        <v>509</v>
      </c>
      <c r="L33" s="267"/>
      <c r="M33" s="259"/>
      <c r="N33" s="69"/>
      <c r="O33" s="69"/>
      <c r="P33" s="69"/>
      <c r="S33" s="69"/>
      <c r="T33" s="69"/>
      <c r="U33" s="69"/>
      <c r="AB33" s="384" t="str">
        <f>B26</f>
        <v>ALMÄNNA KOSTNADER, ärtens andel</v>
      </c>
      <c r="AC33" s="384">
        <f>F26</f>
        <v>238.29787234042553</v>
      </c>
    </row>
    <row r="34" spans="1:29" ht="17.399999999999999" customHeight="1" x14ac:dyDescent="0.3">
      <c r="B34" s="287"/>
      <c r="C34" s="1108" t="s">
        <v>232</v>
      </c>
      <c r="D34" s="1108"/>
      <c r="E34" s="262"/>
      <c r="F34" s="276">
        <f>IF('Gårdens info'!$D$16&gt;0,J34/'Gårdens info'!$D$16,0)</f>
        <v>397.35480161012077</v>
      </c>
      <c r="G34" s="119" t="s">
        <v>57</v>
      </c>
      <c r="H34" s="502">
        <f>IF('Gårdens info'!$G$16&gt;0,F34/'Gårdens info'!$G$16,0)</f>
        <v>9.9338700402530192E-2</v>
      </c>
      <c r="I34" s="119" t="s">
        <v>206</v>
      </c>
      <c r="J34" s="237">
        <f>Egendom!CG25</f>
        <v>794.70960322024155</v>
      </c>
      <c r="K34" s="119" t="s">
        <v>509</v>
      </c>
      <c r="L34" s="267"/>
      <c r="M34" s="259"/>
      <c r="N34" s="69"/>
      <c r="O34" s="69"/>
      <c r="P34" s="69"/>
      <c r="S34" s="69"/>
      <c r="T34" s="69"/>
      <c r="U34" s="69"/>
      <c r="AB34" s="382" t="str">
        <f>B27</f>
        <v>HYREKOSTNADER ÅKER, ärtens andel</v>
      </c>
      <c r="AC34" s="384">
        <f>F27</f>
        <v>187.2340425531915</v>
      </c>
    </row>
    <row r="35" spans="1:29" ht="21" x14ac:dyDescent="0.4">
      <c r="B35" s="287"/>
      <c r="C35" s="941" t="s">
        <v>483</v>
      </c>
      <c r="D35" s="942"/>
      <c r="E35" s="262"/>
      <c r="F35" s="276">
        <f>IF('Gårdens info'!$D$16&gt;0,J35/'Gårdens info'!$D$16,0)</f>
        <v>79.470960322024155</v>
      </c>
      <c r="G35" s="119" t="s">
        <v>57</v>
      </c>
      <c r="H35" s="502">
        <f>IF('Gårdens info'!$G$16&gt;0,F35/'Gårdens info'!$G$16,0)</f>
        <v>1.9867740080506038E-2</v>
      </c>
      <c r="I35" s="119" t="s">
        <v>206</v>
      </c>
      <c r="J35" s="237">
        <f>Egendom!DE25</f>
        <v>158.94192064404831</v>
      </c>
      <c r="K35" s="119" t="s">
        <v>509</v>
      </c>
      <c r="L35" s="267"/>
      <c r="M35" s="259"/>
      <c r="N35" s="192"/>
      <c r="O35" s="192"/>
      <c r="P35" s="192"/>
      <c r="S35" s="192"/>
      <c r="T35" s="192"/>
      <c r="U35" s="192"/>
      <c r="AB35" s="382" t="str">
        <f>B31</f>
        <v>BYGGNADER</v>
      </c>
      <c r="AC35" s="385">
        <f>F36</f>
        <v>3059.6319723979295</v>
      </c>
    </row>
    <row r="36" spans="1:29" ht="20.399999999999999" x14ac:dyDescent="0.35">
      <c r="B36" s="289"/>
      <c r="C36" s="943" t="s">
        <v>54</v>
      </c>
      <c r="D36" s="944"/>
      <c r="E36" s="262"/>
      <c r="F36" s="280">
        <f>SUM(F32:F35)</f>
        <v>3059.6319723979295</v>
      </c>
      <c r="G36" s="119" t="s">
        <v>57</v>
      </c>
      <c r="H36" s="591">
        <f>SUM(H32:H35)</f>
        <v>0.76490799309948254</v>
      </c>
      <c r="I36" s="119" t="s">
        <v>206</v>
      </c>
      <c r="J36" s="280">
        <f t="shared" ref="J36" si="3">SUM(J32:J35)</f>
        <v>6119.2639447958591</v>
      </c>
      <c r="K36" s="119" t="s">
        <v>509</v>
      </c>
      <c r="L36" s="281"/>
      <c r="M36" s="259"/>
      <c r="AB36" s="382" t="str">
        <f>B38</f>
        <v>MASKINER OCH UTRUSTNING</v>
      </c>
      <c r="AC36" s="386">
        <f>F43</f>
        <v>609.49557780559041</v>
      </c>
    </row>
    <row r="37" spans="1:29" s="69" customFormat="1" ht="21" x14ac:dyDescent="0.4">
      <c r="A37" s="576"/>
      <c r="B37" s="287"/>
      <c r="C37" s="274"/>
      <c r="D37" s="270"/>
      <c r="E37" s="262"/>
      <c r="F37" s="276"/>
      <c r="G37" s="119"/>
      <c r="H37" s="277"/>
      <c r="I37" s="119"/>
      <c r="J37" s="237"/>
      <c r="K37" s="119"/>
      <c r="L37" s="267"/>
      <c r="M37" s="259"/>
      <c r="N37"/>
      <c r="O37"/>
      <c r="P37"/>
      <c r="S37"/>
      <c r="T37"/>
      <c r="U37"/>
      <c r="AB37" s="382" t="str">
        <f>B45</f>
        <v>LÅNVARIGA PRODUKTIONSMEDEL</v>
      </c>
      <c r="AC37" s="386">
        <f>F50</f>
        <v>480.54594594594596</v>
      </c>
    </row>
    <row r="38" spans="1:29" s="69" customFormat="1" ht="17.399999999999999" x14ac:dyDescent="0.3">
      <c r="A38" s="576"/>
      <c r="B38" s="1081" t="s">
        <v>83</v>
      </c>
      <c r="C38" s="1082"/>
      <c r="D38" s="1082"/>
      <c r="E38" s="262"/>
      <c r="F38" s="276"/>
      <c r="G38" s="119"/>
      <c r="H38" s="277"/>
      <c r="I38" s="119"/>
      <c r="J38" s="237"/>
      <c r="K38" s="119"/>
      <c r="L38" s="267"/>
      <c r="M38" s="259"/>
      <c r="N38"/>
      <c r="O38"/>
      <c r="P38"/>
      <c r="S38"/>
      <c r="T38"/>
      <c r="U38"/>
      <c r="AB38" s="382" t="str">
        <f>B52</f>
        <v>TÄCKDIKEN</v>
      </c>
      <c r="AC38" s="386">
        <f>F56</f>
        <v>63.829787234042556</v>
      </c>
    </row>
    <row r="39" spans="1:29" s="69" customFormat="1" ht="21" x14ac:dyDescent="0.4">
      <c r="A39" s="576"/>
      <c r="B39" s="287"/>
      <c r="C39" s="941" t="s">
        <v>229</v>
      </c>
      <c r="D39" s="942"/>
      <c r="E39" s="262"/>
      <c r="F39" s="276">
        <f>IF('Gårdens info'!$D$16&gt;0,J39/'Gårdens info'!$D$16,0)</f>
        <v>328.56904463913224</v>
      </c>
      <c r="G39" s="119" t="s">
        <v>57</v>
      </c>
      <c r="H39" s="502">
        <f>IF('Gårdens info'!$G$16&gt;0,F39/'Gårdens info'!$G$16,0)</f>
        <v>8.2142261159783056E-2</v>
      </c>
      <c r="I39" s="119" t="s">
        <v>206</v>
      </c>
      <c r="J39" s="237">
        <f>Egendom!AP61</f>
        <v>657.13808927826449</v>
      </c>
      <c r="K39" s="119" t="s">
        <v>509</v>
      </c>
      <c r="L39" s="267"/>
      <c r="M39" s="259"/>
      <c r="AB39" s="382" t="str">
        <f>B59</f>
        <v>Lönekrav för eget arbete</v>
      </c>
      <c r="AC39" s="384">
        <f>F62</f>
        <v>1261.5</v>
      </c>
    </row>
    <row r="40" spans="1:29" s="5" customFormat="1" ht="21" x14ac:dyDescent="0.4">
      <c r="A40" s="575"/>
      <c r="B40" s="287"/>
      <c r="C40" s="941" t="s">
        <v>230</v>
      </c>
      <c r="D40" s="942"/>
      <c r="E40" s="262"/>
      <c r="F40" s="276">
        <f>IF('Gårdens info'!$D$16&gt;0,J40/'Gårdens info'!$D$16,0)</f>
        <v>123.21339173967461</v>
      </c>
      <c r="G40" s="119" t="s">
        <v>57</v>
      </c>
      <c r="H40" s="502">
        <f>IF('Gårdens info'!$G$16&gt;0,F40/'Gårdens info'!$G$16,0)</f>
        <v>3.0803347934918651E-2</v>
      </c>
      <c r="I40" s="119" t="s">
        <v>206</v>
      </c>
      <c r="J40" s="237">
        <f>Egendom!BN61</f>
        <v>246.42678347934921</v>
      </c>
      <c r="K40" s="119" t="s">
        <v>509</v>
      </c>
      <c r="L40" s="267"/>
      <c r="M40" s="259"/>
      <c r="N40" s="69"/>
      <c r="O40" s="69"/>
      <c r="P40" s="69"/>
      <c r="Q40" s="69"/>
      <c r="R40" s="69"/>
      <c r="S40" s="69"/>
      <c r="T40" s="69"/>
      <c r="U40" s="69"/>
    </row>
    <row r="41" spans="1:29" s="5" customFormat="1" ht="17.399999999999999" customHeight="1" x14ac:dyDescent="0.3">
      <c r="A41" s="575"/>
      <c r="B41" s="287"/>
      <c r="C41" s="1108" t="s">
        <v>232</v>
      </c>
      <c r="D41" s="1108"/>
      <c r="E41" s="262"/>
      <c r="F41" s="276">
        <f>IF('Gårdens info'!$D$16&gt;0,J41/'Gårdens info'!$D$16,0)</f>
        <v>147.85607008760951</v>
      </c>
      <c r="G41" s="119" t="s">
        <v>57</v>
      </c>
      <c r="H41" s="502">
        <f>IF('Gårdens info'!$G$16&gt;0,F41/'Gårdens info'!$G$16,0)</f>
        <v>3.6964017521902377E-2</v>
      </c>
      <c r="I41" s="119" t="s">
        <v>206</v>
      </c>
      <c r="J41" s="237">
        <f>Egendom!CL61</f>
        <v>295.71214017521902</v>
      </c>
      <c r="K41" s="119" t="s">
        <v>509</v>
      </c>
      <c r="L41" s="267"/>
      <c r="M41" s="259"/>
      <c r="N41" s="69"/>
      <c r="O41" s="69"/>
      <c r="P41" s="69"/>
      <c r="Q41" s="69"/>
      <c r="R41" s="69"/>
      <c r="S41" s="69"/>
      <c r="T41" s="69"/>
      <c r="U41" s="69"/>
    </row>
    <row r="42" spans="1:29" s="5" customFormat="1" ht="21" x14ac:dyDescent="0.4">
      <c r="A42" s="575"/>
      <c r="B42" s="287"/>
      <c r="C42" s="941" t="s">
        <v>483</v>
      </c>
      <c r="D42" s="942"/>
      <c r="E42" s="262"/>
      <c r="F42" s="276">
        <f>IF('Gårdens info'!$D$16&gt;0,J42/'Gårdens info'!$D$16,0)</f>
        <v>9.8570713391739666</v>
      </c>
      <c r="G42" s="119" t="s">
        <v>57</v>
      </c>
      <c r="H42" s="502">
        <f>IF('Gårdens info'!$G$16&gt;0,F42/'Gårdens info'!$G$16,0)</f>
        <v>2.4642678347934917E-3</v>
      </c>
      <c r="I42" s="119" t="s">
        <v>206</v>
      </c>
      <c r="J42" s="237">
        <f>Egendom!DJ61</f>
        <v>19.714142678347933</v>
      </c>
      <c r="K42" s="119" t="s">
        <v>509</v>
      </c>
      <c r="L42" s="267"/>
      <c r="M42" s="259"/>
    </row>
    <row r="43" spans="1:29" s="5" customFormat="1" ht="20.399999999999999" x14ac:dyDescent="0.35">
      <c r="A43" s="575"/>
      <c r="B43" s="289"/>
      <c r="C43" s="943" t="s">
        <v>54</v>
      </c>
      <c r="D43" s="944"/>
      <c r="E43" s="262"/>
      <c r="F43" s="280">
        <f>SUM(F39:F42)</f>
        <v>609.49557780559041</v>
      </c>
      <c r="G43" s="119" t="s">
        <v>57</v>
      </c>
      <c r="H43" s="591">
        <f>SUM(H39:H42)</f>
        <v>0.1523738944513976</v>
      </c>
      <c r="I43" s="119" t="s">
        <v>206</v>
      </c>
      <c r="J43" s="280">
        <f t="shared" ref="J43" si="4">SUM(J39:J42)</f>
        <v>1218.9911556111808</v>
      </c>
      <c r="K43" s="119" t="s">
        <v>509</v>
      </c>
      <c r="L43" s="281"/>
      <c r="M43" s="259"/>
    </row>
    <row r="44" spans="1:29" s="5" customFormat="1" ht="21" x14ac:dyDescent="0.4">
      <c r="A44" s="575"/>
      <c r="B44" s="287"/>
      <c r="C44" s="274"/>
      <c r="D44" s="270"/>
      <c r="E44" s="262"/>
      <c r="F44" s="276"/>
      <c r="G44" s="119"/>
      <c r="H44" s="277"/>
      <c r="I44" s="119"/>
      <c r="J44" s="237"/>
      <c r="K44" s="119"/>
      <c r="L44" s="267"/>
      <c r="M44" s="259"/>
    </row>
    <row r="45" spans="1:29" s="5" customFormat="1" ht="43.2" customHeight="1" x14ac:dyDescent="0.3">
      <c r="A45" s="575"/>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info'!$D$16&gt;0,J46/'Gårdens info'!$D$16,0)</f>
        <v>308.64864864864865</v>
      </c>
      <c r="G46" s="119" t="s">
        <v>57</v>
      </c>
      <c r="H46" s="502">
        <f>IF('Gårdens info'!$G$16&gt;0,F46/'Gårdens info'!$G$16,0)</f>
        <v>7.7162162162162165E-2</v>
      </c>
      <c r="I46" s="119" t="s">
        <v>206</v>
      </c>
      <c r="J46" s="237">
        <f>Egendom!AK90</f>
        <v>617.29729729729729</v>
      </c>
      <c r="K46" s="119" t="s">
        <v>509</v>
      </c>
      <c r="L46" s="267"/>
      <c r="M46" s="259"/>
      <c r="N46" s="5"/>
      <c r="O46" s="5"/>
      <c r="P46" s="5"/>
      <c r="Q46" s="5"/>
      <c r="R46" s="5"/>
      <c r="S46" s="5"/>
      <c r="T46" s="5"/>
      <c r="U46" s="5"/>
    </row>
    <row r="47" spans="1:29" s="5" customFormat="1" ht="21" x14ac:dyDescent="0.4">
      <c r="A47" s="575"/>
      <c r="B47" s="287"/>
      <c r="C47" s="941" t="s">
        <v>230</v>
      </c>
      <c r="D47" s="942"/>
      <c r="E47" s="262"/>
      <c r="F47" s="276">
        <f>IF('Gårdens info'!$D$16&gt;0,J47/'Gårdens info'!$D$16,0)</f>
        <v>55.810810810810807</v>
      </c>
      <c r="G47" s="119" t="s">
        <v>57</v>
      </c>
      <c r="H47" s="502">
        <f>IF('Gårdens info'!$G$16&gt;0,F47/'Gårdens info'!$G$16,0)</f>
        <v>1.3952702702702702E-2</v>
      </c>
      <c r="I47" s="119" t="s">
        <v>206</v>
      </c>
      <c r="J47" s="237">
        <f>Egendom!BI90</f>
        <v>111.62162162162161</v>
      </c>
      <c r="K47" s="119" t="s">
        <v>509</v>
      </c>
      <c r="L47" s="267"/>
      <c r="M47" s="259"/>
    </row>
    <row r="48" spans="1:29" s="5" customFormat="1" ht="17.399999999999999" customHeight="1" x14ac:dyDescent="0.3">
      <c r="A48" s="575"/>
      <c r="B48" s="287"/>
      <c r="C48" s="1108" t="s">
        <v>232</v>
      </c>
      <c r="D48" s="1108"/>
      <c r="E48" s="262"/>
      <c r="F48" s="276">
        <f>IF('Gårdens info'!$D$16&gt;0,J48/'Gårdens info'!$D$16,0)</f>
        <v>111.62162162162161</v>
      </c>
      <c r="G48" s="119" t="s">
        <v>57</v>
      </c>
      <c r="H48" s="502">
        <f>IF('Gårdens info'!$G$16&gt;0,F48/'Gårdens info'!$G$16,0)</f>
        <v>2.7905405405405405E-2</v>
      </c>
      <c r="I48" s="119" t="s">
        <v>206</v>
      </c>
      <c r="J48" s="237">
        <f>Egendom!CG90</f>
        <v>223.24324324324323</v>
      </c>
      <c r="K48" s="119" t="s">
        <v>509</v>
      </c>
      <c r="L48" s="267"/>
      <c r="M48" s="259"/>
      <c r="N48"/>
      <c r="O48"/>
      <c r="P48"/>
      <c r="Q48"/>
      <c r="R48"/>
      <c r="S48"/>
      <c r="T48"/>
      <c r="U48"/>
    </row>
    <row r="49" spans="1:13" s="5" customFormat="1" ht="21" x14ac:dyDescent="0.4">
      <c r="A49" s="575"/>
      <c r="B49" s="287"/>
      <c r="C49" s="941" t="s">
        <v>483</v>
      </c>
      <c r="D49" s="942"/>
      <c r="E49" s="262"/>
      <c r="F49" s="276">
        <f>IF('Gårdens info'!$D$16&gt;0,J49/'Gårdens info'!$D$16,0)</f>
        <v>4.4648648648648654</v>
      </c>
      <c r="G49" s="119" t="s">
        <v>57</v>
      </c>
      <c r="H49" s="502">
        <f>IF('Gårdens info'!$G$16&gt;0,F49/'Gårdens info'!$G$16,0)</f>
        <v>1.1162162162162163E-3</v>
      </c>
      <c r="I49" s="119" t="s">
        <v>206</v>
      </c>
      <c r="J49" s="237">
        <f>Egendom!DE90</f>
        <v>8.9297297297297309</v>
      </c>
      <c r="K49" s="119" t="s">
        <v>509</v>
      </c>
      <c r="L49" s="267"/>
      <c r="M49" s="259"/>
    </row>
    <row r="50" spans="1:13" s="5" customFormat="1" ht="20.399999999999999" x14ac:dyDescent="0.35">
      <c r="A50" s="575"/>
      <c r="B50" s="289"/>
      <c r="C50" s="943" t="s">
        <v>54</v>
      </c>
      <c r="D50" s="944"/>
      <c r="E50" s="262"/>
      <c r="F50" s="280">
        <f>SUM(F46:F49)</f>
        <v>480.54594594594596</v>
      </c>
      <c r="G50" s="119" t="s">
        <v>57</v>
      </c>
      <c r="H50" s="509">
        <f t="shared" ref="H50:J50" si="5">SUM(H46:H49)</f>
        <v>0.12013648648648648</v>
      </c>
      <c r="I50" s="119" t="s">
        <v>206</v>
      </c>
      <c r="J50" s="280">
        <f t="shared" si="5"/>
        <v>961.09189189189192</v>
      </c>
      <c r="K50" s="119" t="s">
        <v>509</v>
      </c>
      <c r="L50" s="281"/>
      <c r="M50" s="259"/>
    </row>
    <row r="51" spans="1:13" s="5" customFormat="1" ht="21" x14ac:dyDescent="0.4">
      <c r="A51" s="575"/>
      <c r="B51" s="287"/>
      <c r="C51" s="274"/>
      <c r="D51" s="270"/>
      <c r="E51" s="262"/>
      <c r="F51" s="276"/>
      <c r="G51" s="119"/>
      <c r="H51" s="277"/>
      <c r="I51" s="119"/>
      <c r="J51" s="237"/>
      <c r="K51" s="119"/>
      <c r="L51" s="267"/>
      <c r="M51" s="259"/>
    </row>
    <row r="52" spans="1:13" s="5" customFormat="1" ht="21" x14ac:dyDescent="0.4">
      <c r="A52" s="575"/>
      <c r="B52" s="1084" t="s">
        <v>139</v>
      </c>
      <c r="C52" s="1085"/>
      <c r="D52" s="270"/>
      <c r="E52" s="262"/>
      <c r="F52" s="276"/>
      <c r="G52" s="119"/>
      <c r="H52" s="277"/>
      <c r="I52" s="119"/>
      <c r="J52" s="237"/>
      <c r="K52" s="119"/>
      <c r="L52" s="267"/>
      <c r="M52" s="259"/>
    </row>
    <row r="53" spans="1:13" s="5" customFormat="1" ht="21" x14ac:dyDescent="0.4">
      <c r="A53" s="575"/>
      <c r="B53" s="287"/>
      <c r="C53" s="941" t="s">
        <v>229</v>
      </c>
      <c r="D53" s="942"/>
      <c r="E53" s="262"/>
      <c r="F53" s="276">
        <f>IF('Gårdens info'!$D$16&gt;0,J53/'Gårdens info'!$D$16,0)</f>
        <v>0</v>
      </c>
      <c r="G53" s="119" t="s">
        <v>57</v>
      </c>
      <c r="H53" s="502">
        <f>IF('Gårdens info'!$G$16&gt;0,F53/'Gårdens info'!$G$16,0)</f>
        <v>0</v>
      </c>
      <c r="I53" s="119" t="s">
        <v>206</v>
      </c>
      <c r="J53" s="237">
        <f>Egendom!AK93</f>
        <v>0</v>
      </c>
      <c r="K53" s="119" t="s">
        <v>509</v>
      </c>
      <c r="L53" s="267"/>
      <c r="M53" s="259"/>
    </row>
    <row r="54" spans="1:13" s="5" customFormat="1" ht="19.95" customHeight="1" x14ac:dyDescent="0.4">
      <c r="A54" s="575"/>
      <c r="B54" s="287"/>
      <c r="C54" s="941" t="s">
        <v>230</v>
      </c>
      <c r="D54" s="942"/>
      <c r="E54" s="262"/>
      <c r="F54" s="276">
        <f>IF('Gårdens info'!$D$16&gt;0,J54/'Gårdens info'!$D$16,0)</f>
        <v>0</v>
      </c>
      <c r="G54" s="119" t="s">
        <v>57</v>
      </c>
      <c r="H54" s="502">
        <f>IF('Gårdens info'!$G$16&gt;0,F54/'Gårdens info'!$G$16,0)</f>
        <v>0</v>
      </c>
      <c r="I54" s="119" t="s">
        <v>206</v>
      </c>
      <c r="J54" s="237">
        <f>Egendom!BI93</f>
        <v>0</v>
      </c>
      <c r="K54" s="119" t="s">
        <v>509</v>
      </c>
      <c r="L54" s="267"/>
      <c r="M54" s="259"/>
    </row>
    <row r="55" spans="1:13" s="5" customFormat="1" ht="17.399999999999999" customHeight="1" x14ac:dyDescent="0.3">
      <c r="A55" s="575"/>
      <c r="B55" s="287"/>
      <c r="C55" s="1108" t="s">
        <v>232</v>
      </c>
      <c r="D55" s="1108"/>
      <c r="E55" s="262"/>
      <c r="F55" s="276">
        <f>IF('Gårdens info'!$D$16&gt;0,J55/'Gårdens info'!$D$16,0)</f>
        <v>63.829787234042556</v>
      </c>
      <c r="G55" s="119" t="s">
        <v>57</v>
      </c>
      <c r="H55" s="502">
        <f>IF('Gårdens info'!$G$16&gt;0,F55/'Gårdens info'!$G$16,0)</f>
        <v>1.5957446808510641E-2</v>
      </c>
      <c r="I55" s="119" t="s">
        <v>206</v>
      </c>
      <c r="J55" s="237">
        <f>Egendom!CG93</f>
        <v>127.65957446808511</v>
      </c>
      <c r="K55" s="119" t="s">
        <v>509</v>
      </c>
      <c r="L55" s="267"/>
      <c r="M55" s="259"/>
    </row>
    <row r="56" spans="1:13" s="5" customFormat="1" ht="15.6" x14ac:dyDescent="0.3">
      <c r="A56" s="575"/>
      <c r="B56" s="286"/>
      <c r="C56" s="261" t="s">
        <v>54</v>
      </c>
      <c r="D56" s="261"/>
      <c r="E56" s="261"/>
      <c r="F56" s="280">
        <f>SUM(F53:F55)</f>
        <v>63.829787234042556</v>
      </c>
      <c r="G56" s="119" t="s">
        <v>57</v>
      </c>
      <c r="H56" s="591">
        <f>SUM(H53:H55)</f>
        <v>1.5957446808510641E-2</v>
      </c>
      <c r="I56" s="119" t="s">
        <v>206</v>
      </c>
      <c r="J56" s="280">
        <f t="shared" ref="J56" si="6">SUM(J53:J55)</f>
        <v>127.65957446808511</v>
      </c>
      <c r="K56" s="119" t="s">
        <v>509</v>
      </c>
      <c r="L56" s="284"/>
      <c r="M56" s="290"/>
    </row>
    <row r="57" spans="1:13" s="5" customFormat="1" ht="21" customHeight="1" x14ac:dyDescent="0.4">
      <c r="A57" s="575"/>
      <c r="B57" s="1061" t="s">
        <v>191</v>
      </c>
      <c r="C57" s="1043"/>
      <c r="D57" s="1043"/>
      <c r="E57" s="262"/>
      <c r="F57" s="266">
        <f>F36+F43+F50+F56</f>
        <v>4213.5032833835085</v>
      </c>
      <c r="G57" s="267" t="s">
        <v>57</v>
      </c>
      <c r="H57" s="507">
        <f>H36+H43+H50+H56</f>
        <v>1.0533758208458772</v>
      </c>
      <c r="I57" s="267" t="s">
        <v>206</v>
      </c>
      <c r="J57" s="269">
        <f>J36+J43+J50+J56</f>
        <v>8427.0065667670169</v>
      </c>
      <c r="K57" s="267" t="s">
        <v>509</v>
      </c>
      <c r="L57" s="267"/>
      <c r="M57" s="259"/>
    </row>
    <row r="58" spans="1:13" s="5" customFormat="1" ht="15.6" x14ac:dyDescent="0.3">
      <c r="A58" s="575"/>
      <c r="B58" s="286"/>
      <c r="C58" s="262"/>
      <c r="D58" s="262"/>
      <c r="E58" s="262"/>
      <c r="F58" s="263"/>
      <c r="G58" s="243"/>
      <c r="H58" s="264"/>
      <c r="I58" s="243"/>
      <c r="J58" s="258"/>
      <c r="K58" s="243"/>
      <c r="L58" s="265"/>
      <c r="M58" s="259"/>
    </row>
    <row r="59" spans="1:13" s="5" customFormat="1" ht="21" x14ac:dyDescent="0.4">
      <c r="A59" s="575"/>
      <c r="B59" s="257" t="s">
        <v>192</v>
      </c>
      <c r="C59" s="262"/>
      <c r="D59" s="262"/>
      <c r="E59" s="262"/>
      <c r="F59" s="263"/>
      <c r="G59" s="243"/>
      <c r="H59" s="264"/>
      <c r="I59" s="243"/>
      <c r="J59" s="258"/>
      <c r="K59" s="243"/>
      <c r="L59" s="265"/>
      <c r="M59" s="259"/>
    </row>
    <row r="60" spans="1:13" s="5" customFormat="1" ht="15" x14ac:dyDescent="0.25">
      <c r="A60" s="575"/>
      <c r="B60" s="235"/>
      <c r="C60" s="228" t="s">
        <v>192</v>
      </c>
      <c r="D60" s="236"/>
      <c r="E60" s="236"/>
      <c r="F60" s="237">
        <f>IF('Gårdens info'!D16&gt;0,H169,0)</f>
        <v>1261.5</v>
      </c>
      <c r="G60" s="119" t="s">
        <v>57</v>
      </c>
      <c r="H60" s="503">
        <f>IF('Gårdens info'!G16&gt;0,F60/'Gårdens info'!$G$16,0)</f>
        <v>0.31537500000000002</v>
      </c>
      <c r="I60" s="119" t="s">
        <v>206</v>
      </c>
      <c r="J60" s="237">
        <f>F60*'Gårdens info'!D12</f>
        <v>12615</v>
      </c>
      <c r="K60" s="119" t="s">
        <v>509</v>
      </c>
      <c r="L60" s="236"/>
      <c r="M60" s="239"/>
    </row>
    <row r="61" spans="1:13" s="5" customFormat="1" ht="17.399999999999999" x14ac:dyDescent="0.3">
      <c r="A61" s="575"/>
      <c r="B61" s="248"/>
      <c r="C61" s="245"/>
      <c r="D61" s="249"/>
      <c r="E61" s="249"/>
      <c r="F61" s="250"/>
      <c r="G61" s="120"/>
      <c r="H61" s="249"/>
      <c r="I61" s="249"/>
      <c r="J61" s="249"/>
      <c r="K61" s="249"/>
      <c r="L61" s="249"/>
      <c r="M61" s="234"/>
    </row>
    <row r="62" spans="1:13" s="5" customFormat="1" ht="21" customHeight="1" x14ac:dyDescent="0.4">
      <c r="A62" s="575"/>
      <c r="B62" s="345" t="s">
        <v>194</v>
      </c>
      <c r="C62" s="346"/>
      <c r="D62" s="346"/>
      <c r="E62" s="262"/>
      <c r="F62" s="266">
        <f>F60</f>
        <v>1261.5</v>
      </c>
      <c r="G62" s="267" t="s">
        <v>57</v>
      </c>
      <c r="H62" s="507">
        <f>H60</f>
        <v>0.31537500000000002</v>
      </c>
      <c r="I62" s="267" t="s">
        <v>206</v>
      </c>
      <c r="J62" s="269">
        <f>J60</f>
        <v>12615</v>
      </c>
      <c r="K62" s="267" t="s">
        <v>509</v>
      </c>
      <c r="L62" s="267"/>
      <c r="M62" s="259"/>
    </row>
    <row r="63" spans="1:13" s="5" customFormat="1" ht="21" x14ac:dyDescent="0.4">
      <c r="A63" s="575"/>
      <c r="B63" s="288"/>
      <c r="C63" s="270"/>
      <c r="D63" s="270"/>
      <c r="E63" s="262"/>
      <c r="F63" s="266"/>
      <c r="G63" s="267"/>
      <c r="H63" s="507"/>
      <c r="I63" s="267"/>
      <c r="J63" s="269"/>
      <c r="K63" s="267"/>
      <c r="L63" s="267"/>
      <c r="M63" s="259"/>
    </row>
    <row r="64" spans="1:13" s="5" customFormat="1" ht="21" customHeight="1" x14ac:dyDescent="0.4">
      <c r="A64" s="575"/>
      <c r="B64" s="1061" t="s">
        <v>195</v>
      </c>
      <c r="C64" s="1043"/>
      <c r="D64" s="1043"/>
      <c r="E64" s="262"/>
      <c r="F64" s="266">
        <f>F28+F57+F62</f>
        <v>14083.115198277124</v>
      </c>
      <c r="G64" s="267" t="s">
        <v>57</v>
      </c>
      <c r="H64" s="572">
        <f>H28+H57+H62</f>
        <v>3.5207787995692814</v>
      </c>
      <c r="I64" s="267" t="s">
        <v>206</v>
      </c>
      <c r="J64" s="266">
        <f>J28+J57+J62</f>
        <v>38258.230396554252</v>
      </c>
      <c r="K64" s="267" t="s">
        <v>509</v>
      </c>
      <c r="L64" s="267"/>
      <c r="M64" s="259"/>
    </row>
    <row r="65" spans="1:21" s="5" customFormat="1" ht="21" x14ac:dyDescent="0.4">
      <c r="A65" s="575"/>
      <c r="B65" s="288"/>
      <c r="C65" s="270"/>
      <c r="D65" s="270"/>
      <c r="E65" s="262"/>
      <c r="F65" s="266"/>
      <c r="G65" s="267"/>
      <c r="H65" s="268"/>
      <c r="I65" s="267"/>
      <c r="J65" s="269"/>
      <c r="K65" s="267"/>
      <c r="L65" s="267"/>
      <c r="M65" s="259"/>
    </row>
    <row r="66" spans="1:21" s="5" customFormat="1" ht="21.6" customHeight="1" thickBot="1" x14ac:dyDescent="0.45">
      <c r="A66" s="575"/>
      <c r="B66" s="1059" t="s">
        <v>198</v>
      </c>
      <c r="C66" s="1060"/>
      <c r="D66" s="1060"/>
      <c r="E66" s="253"/>
      <c r="F66" s="292">
        <f>F11-F28-F57-F62</f>
        <v>1575.984801722876</v>
      </c>
      <c r="G66" s="293" t="s">
        <v>57</v>
      </c>
      <c r="H66" s="510">
        <f>H11-H28-H57-H62</f>
        <v>0.39399620043071842</v>
      </c>
      <c r="I66" s="293" t="s">
        <v>206</v>
      </c>
      <c r="J66" s="292">
        <f>J11-J28-J57-J62</f>
        <v>-6940.030396554248</v>
      </c>
      <c r="K66" s="293" t="s">
        <v>509</v>
      </c>
      <c r="L66" s="293"/>
      <c r="M66" s="254"/>
    </row>
    <row r="67" spans="1:21" s="5" customFormat="1" ht="21" x14ac:dyDescent="0.4">
      <c r="A67" s="575"/>
      <c r="B67" s="55"/>
      <c r="C67"/>
      <c r="D67"/>
      <c r="E67"/>
      <c r="F67"/>
      <c r="G67"/>
      <c r="H67"/>
      <c r="I67"/>
      <c r="J67"/>
      <c r="K67"/>
      <c r="L67"/>
      <c r="M67"/>
    </row>
    <row r="68" spans="1:21" s="194" customFormat="1" ht="16.2" thickBot="1" x14ac:dyDescent="0.35">
      <c r="A68" s="579"/>
      <c r="B68"/>
      <c r="C68"/>
      <c r="D68"/>
      <c r="E68"/>
      <c r="F68"/>
      <c r="G68"/>
      <c r="H68"/>
      <c r="I68"/>
      <c r="J68"/>
      <c r="K68"/>
      <c r="L68"/>
      <c r="M68"/>
      <c r="N68" s="5"/>
      <c r="O68" s="5"/>
      <c r="P68" s="5"/>
      <c r="Q68" s="5"/>
      <c r="R68" s="5"/>
      <c r="S68" s="5"/>
      <c r="T68" s="5"/>
      <c r="U68" s="5"/>
    </row>
    <row r="69" spans="1:21" s="5" customFormat="1" ht="21.6" customHeight="1" thickBot="1" x14ac:dyDescent="0.45">
      <c r="A69" s="575"/>
      <c r="B69" s="1078" t="s">
        <v>240</v>
      </c>
      <c r="C69" s="1079"/>
      <c r="D69" s="1079"/>
      <c r="E69" s="1080"/>
      <c r="F69"/>
      <c r="G69"/>
      <c r="H69"/>
      <c r="I69"/>
      <c r="J69"/>
      <c r="K69"/>
      <c r="L69" s="1099" t="s">
        <v>241</v>
      </c>
      <c r="M69" s="1099"/>
    </row>
    <row r="70" spans="1:21" s="5" customFormat="1" ht="21" x14ac:dyDescent="0.4">
      <c r="A70" s="575"/>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516</v>
      </c>
      <c r="D73" s="46"/>
      <c r="E73" s="44"/>
      <c r="F73" s="74">
        <v>150</v>
      </c>
      <c r="G73" s="44" t="s">
        <v>8</v>
      </c>
      <c r="H73" s="74">
        <v>2.1</v>
      </c>
      <c r="I73" s="49" t="s">
        <v>206</v>
      </c>
      <c r="J73" s="191">
        <f>F73*H73</f>
        <v>315</v>
      </c>
      <c r="K73" s="44" t="s">
        <v>57</v>
      </c>
      <c r="L73" s="44"/>
      <c r="M73" s="46"/>
    </row>
    <row r="74" spans="1:21" s="5" customFormat="1" x14ac:dyDescent="0.25">
      <c r="A74" s="575"/>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575"/>
      <c r="B76" s="96" t="s">
        <v>494</v>
      </c>
      <c r="C76" s="97"/>
      <c r="D76" s="97"/>
      <c r="E76" s="97"/>
      <c r="F76" s="1074" t="s">
        <v>114</v>
      </c>
      <c r="G76" s="1074"/>
      <c r="H76" s="1074" t="s">
        <v>113</v>
      </c>
      <c r="I76" s="1074"/>
      <c r="J76" s="1074" t="s">
        <v>243</v>
      </c>
      <c r="K76" s="1074"/>
      <c r="L76" s="99"/>
      <c r="M76" s="99"/>
    </row>
    <row r="77" spans="1:21" s="56" customFormat="1" ht="18" thickBot="1" x14ac:dyDescent="0.35">
      <c r="A77" s="577"/>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576"/>
      <c r="B78" s="97"/>
      <c r="C78" s="97" t="s">
        <v>517</v>
      </c>
      <c r="D78" s="99"/>
      <c r="E78" s="97"/>
      <c r="F78" s="94">
        <v>300</v>
      </c>
      <c r="G78" s="97" t="s">
        <v>212</v>
      </c>
      <c r="H78" s="77">
        <v>0.8</v>
      </c>
      <c r="I78" s="98" t="s">
        <v>206</v>
      </c>
      <c r="J78" s="100">
        <f>F78*H78</f>
        <v>240</v>
      </c>
      <c r="K78" s="97" t="s">
        <v>57</v>
      </c>
      <c r="L78" s="99"/>
      <c r="M78" s="99"/>
      <c r="N78" s="5"/>
      <c r="O78" s="5"/>
      <c r="P78" s="5"/>
      <c r="Q78" s="5"/>
      <c r="R78" s="5"/>
      <c r="S78" s="5"/>
      <c r="T78" s="5"/>
      <c r="U78" s="5"/>
    </row>
    <row r="79" spans="1:21" s="69" customFormat="1" ht="15.6" thickBot="1" x14ac:dyDescent="0.3">
      <c r="A79" s="576"/>
      <c r="B79" s="97"/>
      <c r="C79" s="945" t="s">
        <v>361</v>
      </c>
      <c r="D79" s="99"/>
      <c r="E79" s="97"/>
      <c r="F79" s="74">
        <v>1400</v>
      </c>
      <c r="G79" s="97" t="s">
        <v>212</v>
      </c>
      <c r="H79" s="77">
        <v>0.46</v>
      </c>
      <c r="I79" s="98" t="s">
        <v>206</v>
      </c>
      <c r="J79" s="100">
        <f t="shared" ref="J79:J81" si="7">F79*H79</f>
        <v>644</v>
      </c>
      <c r="K79" s="97" t="s">
        <v>57</v>
      </c>
      <c r="L79" s="99"/>
      <c r="M79" s="99"/>
      <c r="N79" s="5"/>
      <c r="O79" s="5"/>
      <c r="P79" s="5"/>
      <c r="Q79" s="5"/>
      <c r="R79" s="5"/>
      <c r="S79" s="5"/>
      <c r="T79" s="5"/>
      <c r="U79" s="5"/>
    </row>
    <row r="80" spans="1:21" s="56" customFormat="1" ht="18" thickBot="1" x14ac:dyDescent="0.35">
      <c r="A80" s="577"/>
      <c r="B80" s="97"/>
      <c r="C80" s="945" t="s">
        <v>251</v>
      </c>
      <c r="D80" s="97"/>
      <c r="E80" s="97"/>
      <c r="F80" s="74"/>
      <c r="G80" s="97" t="s">
        <v>212</v>
      </c>
      <c r="H80" s="77"/>
      <c r="I80" s="98" t="s">
        <v>206</v>
      </c>
      <c r="J80" s="100">
        <f t="shared" si="7"/>
        <v>0</v>
      </c>
      <c r="K80" s="97" t="s">
        <v>57</v>
      </c>
      <c r="L80" s="99"/>
      <c r="M80" s="99"/>
    </row>
    <row r="81" spans="1:21" ht="15.6" thickBot="1" x14ac:dyDescent="0.3">
      <c r="B81" s="97"/>
      <c r="C81" s="945" t="s">
        <v>251</v>
      </c>
      <c r="D81" s="97"/>
      <c r="E81" s="97"/>
      <c r="F81" s="74"/>
      <c r="G81" s="97" t="s">
        <v>212</v>
      </c>
      <c r="H81" s="77"/>
      <c r="I81" s="98" t="s">
        <v>206</v>
      </c>
      <c r="J81" s="100">
        <f t="shared" si="7"/>
        <v>0</v>
      </c>
      <c r="K81" s="97" t="s">
        <v>57</v>
      </c>
      <c r="L81" s="99"/>
      <c r="M81" s="99"/>
      <c r="N81" s="69"/>
      <c r="O81" s="69"/>
      <c r="P81" s="69"/>
      <c r="Q81" s="69"/>
      <c r="R81" s="69"/>
      <c r="S81" s="69"/>
      <c r="T81" s="69"/>
      <c r="U81" s="69"/>
    </row>
    <row r="82" spans="1:21" s="69" customFormat="1" ht="17.399999999999999" x14ac:dyDescent="0.3">
      <c r="A82" s="576"/>
      <c r="B82" s="214"/>
      <c r="C82" s="214" t="s">
        <v>54</v>
      </c>
      <c r="D82" s="214"/>
      <c r="E82" s="214"/>
      <c r="F82" s="214"/>
      <c r="G82" s="214"/>
      <c r="H82" s="214"/>
      <c r="I82" s="215"/>
      <c r="J82" s="216">
        <f>SUM(J78:J81)</f>
        <v>884</v>
      </c>
      <c r="K82" s="214" t="s">
        <v>57</v>
      </c>
      <c r="L82" s="214"/>
      <c r="M82" s="214"/>
      <c r="N82" s="56"/>
      <c r="O82" s="56"/>
      <c r="P82" s="56"/>
      <c r="Q82" s="56"/>
      <c r="R82" s="56"/>
      <c r="S82" s="56"/>
      <c r="T82" s="56"/>
      <c r="U82" s="56"/>
    </row>
    <row r="83" spans="1:21" s="5" customFormat="1" x14ac:dyDescent="0.25">
      <c r="A83" s="575"/>
      <c r="B83" s="97"/>
      <c r="C83" s="97"/>
      <c r="D83" s="97"/>
      <c r="E83" s="97"/>
      <c r="F83" s="97"/>
      <c r="G83" s="97"/>
      <c r="H83" s="97"/>
      <c r="I83" s="98"/>
      <c r="J83" s="100"/>
      <c r="K83" s="97"/>
      <c r="L83" s="99"/>
      <c r="M83" s="99"/>
      <c r="N83"/>
      <c r="O83"/>
      <c r="P83"/>
      <c r="Q83"/>
      <c r="R83"/>
      <c r="S83"/>
      <c r="T83"/>
      <c r="U83"/>
    </row>
    <row r="84" spans="1:21" s="5" customFormat="1" ht="15" x14ac:dyDescent="0.25">
      <c r="A84" s="575"/>
      <c r="B84"/>
      <c r="C84"/>
      <c r="D84"/>
      <c r="E84"/>
      <c r="F84"/>
      <c r="G84"/>
      <c r="H84"/>
      <c r="I84"/>
      <c r="J84"/>
      <c r="K84"/>
      <c r="L84"/>
      <c r="M84"/>
      <c r="N84" s="69"/>
      <c r="O84" s="69"/>
      <c r="P84" s="69"/>
      <c r="Q84" s="69"/>
      <c r="R84" s="69"/>
      <c r="S84" s="69"/>
      <c r="T84" s="69"/>
      <c r="U84" s="69"/>
    </row>
    <row r="85" spans="1:21" s="5" customFormat="1" ht="15.6" x14ac:dyDescent="0.3">
      <c r="A85" s="575"/>
      <c r="B85" s="85" t="s">
        <v>252</v>
      </c>
      <c r="C85" s="51"/>
      <c r="D85" s="51"/>
      <c r="E85" s="51"/>
      <c r="F85" s="1075" t="s">
        <v>114</v>
      </c>
      <c r="G85" s="1075"/>
      <c r="H85" s="1076" t="s">
        <v>113</v>
      </c>
      <c r="I85" s="1076"/>
      <c r="J85" s="1075" t="s">
        <v>243</v>
      </c>
      <c r="K85" s="1075"/>
      <c r="L85" s="58"/>
      <c r="M85" s="58"/>
    </row>
    <row r="86" spans="1:21" x14ac:dyDescent="0.25">
      <c r="B86" s="51"/>
      <c r="C86" s="51"/>
      <c r="D86" s="51"/>
      <c r="E86" s="51"/>
      <c r="F86" s="53"/>
      <c r="G86" s="53"/>
      <c r="H86" s="52"/>
      <c r="I86" s="52"/>
      <c r="J86" s="52"/>
      <c r="K86" s="58"/>
      <c r="L86" s="58"/>
      <c r="M86" s="58"/>
      <c r="N86" s="5"/>
      <c r="O86" s="5"/>
      <c r="P86" s="5"/>
      <c r="Q86" s="5"/>
      <c r="R86" s="5"/>
      <c r="S86" s="5"/>
      <c r="T86" s="5"/>
      <c r="U86" s="5"/>
    </row>
    <row r="87" spans="1:21" ht="15.6" x14ac:dyDescent="0.3">
      <c r="B87" s="85"/>
      <c r="C87" s="51"/>
      <c r="D87" s="387" t="s">
        <v>495</v>
      </c>
      <c r="E87" s="51"/>
      <c r="F87" s="59"/>
      <c r="G87" s="59"/>
      <c r="H87" s="60"/>
      <c r="I87" s="60"/>
      <c r="J87" s="59"/>
      <c r="K87" s="59"/>
      <c r="L87" s="58"/>
      <c r="M87" s="58"/>
    </row>
    <row r="88" spans="1:21" ht="13.8" thickBot="1" x14ac:dyDescent="0.3">
      <c r="B88" s="171" t="s">
        <v>254</v>
      </c>
      <c r="C88" s="51"/>
      <c r="D88" s="51"/>
      <c r="E88" s="51"/>
      <c r="F88" s="53"/>
      <c r="G88" s="53"/>
      <c r="H88" s="52"/>
      <c r="I88" s="52"/>
      <c r="J88" s="58"/>
      <c r="K88" s="58"/>
      <c r="L88" s="58"/>
      <c r="M88" s="58"/>
    </row>
    <row r="89" spans="1:21" ht="13.8" thickBot="1" x14ac:dyDescent="0.3">
      <c r="B89" s="51"/>
      <c r="C89" s="51" t="s">
        <v>485</v>
      </c>
      <c r="D89" s="58"/>
      <c r="E89" s="51"/>
      <c r="F89" s="95">
        <v>0.9</v>
      </c>
      <c r="G89" s="53" t="s">
        <v>256</v>
      </c>
      <c r="H89" s="77">
        <v>26.8</v>
      </c>
      <c r="I89" s="52" t="s">
        <v>257</v>
      </c>
      <c r="J89" s="58">
        <f>F89*H89</f>
        <v>24.12</v>
      </c>
      <c r="K89" s="51" t="s">
        <v>57</v>
      </c>
      <c r="L89" s="58"/>
      <c r="M89" s="58"/>
    </row>
    <row r="90" spans="1:21" ht="13.8" thickBot="1" x14ac:dyDescent="0.3">
      <c r="B90" s="51"/>
      <c r="C90" s="51" t="s">
        <v>518</v>
      </c>
      <c r="D90" s="58"/>
      <c r="E90" s="51"/>
      <c r="F90" s="95">
        <v>1.5</v>
      </c>
      <c r="G90" s="53" t="s">
        <v>212</v>
      </c>
      <c r="H90" s="77">
        <v>83</v>
      </c>
      <c r="I90" s="52" t="s">
        <v>206</v>
      </c>
      <c r="J90" s="58">
        <f t="shared" ref="J90:J94" si="8">F90*H90</f>
        <v>124.5</v>
      </c>
      <c r="K90" s="51" t="s">
        <v>57</v>
      </c>
      <c r="L90" s="58"/>
      <c r="M90" s="58"/>
    </row>
    <row r="91" spans="1:21" ht="13.8" thickBot="1" x14ac:dyDescent="0.3">
      <c r="B91" s="51"/>
      <c r="C91" s="51" t="s">
        <v>519</v>
      </c>
      <c r="D91" s="58"/>
      <c r="E91" s="51"/>
      <c r="F91" s="95">
        <v>0.4</v>
      </c>
      <c r="G91" s="53" t="s">
        <v>256</v>
      </c>
      <c r="H91" s="77">
        <v>39</v>
      </c>
      <c r="I91" s="52" t="s">
        <v>257</v>
      </c>
      <c r="J91" s="58">
        <f t="shared" ref="J91:J92" si="9">F91*H91</f>
        <v>15.600000000000001</v>
      </c>
      <c r="K91" s="51" t="s">
        <v>57</v>
      </c>
      <c r="L91" s="58"/>
      <c r="M91" s="58"/>
    </row>
    <row r="92" spans="1:21" ht="13.8" thickBot="1" x14ac:dyDescent="0.3">
      <c r="B92" s="51"/>
      <c r="C92" s="51" t="s">
        <v>520</v>
      </c>
      <c r="D92" s="58"/>
      <c r="E92" s="51"/>
      <c r="F92" s="95"/>
      <c r="G92" s="53" t="s">
        <v>256</v>
      </c>
      <c r="H92" s="77"/>
      <c r="I92" s="52" t="s">
        <v>257</v>
      </c>
      <c r="J92" s="58">
        <f t="shared" si="9"/>
        <v>0</v>
      </c>
      <c r="K92" s="51" t="s">
        <v>57</v>
      </c>
      <c r="L92" s="58"/>
      <c r="M92" s="58"/>
    </row>
    <row r="93" spans="1:21" ht="13.8" thickBot="1" x14ac:dyDescent="0.3">
      <c r="B93" s="51"/>
      <c r="C93" s="51" t="s">
        <v>520</v>
      </c>
      <c r="D93" s="51"/>
      <c r="E93" s="51"/>
      <c r="F93" s="95"/>
      <c r="G93" s="53" t="s">
        <v>256</v>
      </c>
      <c r="H93" s="77"/>
      <c r="I93" s="52" t="s">
        <v>257</v>
      </c>
      <c r="J93" s="58">
        <f t="shared" si="8"/>
        <v>0</v>
      </c>
      <c r="K93" s="51" t="s">
        <v>57</v>
      </c>
      <c r="L93" s="58"/>
      <c r="M93" s="58"/>
    </row>
    <row r="94" spans="1:21" ht="13.8" thickBot="1" x14ac:dyDescent="0.3">
      <c r="B94" s="51"/>
      <c r="C94" s="51" t="s">
        <v>520</v>
      </c>
      <c r="D94" s="51"/>
      <c r="E94" s="51"/>
      <c r="F94" s="95"/>
      <c r="G94" s="53" t="s">
        <v>256</v>
      </c>
      <c r="H94" s="77"/>
      <c r="I94" s="52" t="s">
        <v>257</v>
      </c>
      <c r="J94" s="58">
        <f t="shared" si="8"/>
        <v>0</v>
      </c>
      <c r="K94" s="51" t="s">
        <v>57</v>
      </c>
      <c r="L94" s="58"/>
      <c r="M94" s="58"/>
    </row>
    <row r="95" spans="1:21" x14ac:dyDescent="0.25">
      <c r="B95" s="51"/>
      <c r="C95" s="51"/>
      <c r="D95" s="51"/>
      <c r="E95" s="51"/>
      <c r="F95" s="53"/>
      <c r="G95" s="53"/>
      <c r="H95" s="52"/>
      <c r="I95" s="52"/>
      <c r="J95" s="58"/>
      <c r="K95" s="51"/>
      <c r="L95" s="58"/>
      <c r="M95" s="58"/>
    </row>
    <row r="96" spans="1:21" ht="13.8" thickBot="1" x14ac:dyDescent="0.3">
      <c r="B96" s="171" t="s">
        <v>266</v>
      </c>
      <c r="C96" s="51"/>
      <c r="D96" s="51"/>
      <c r="E96" s="51"/>
      <c r="F96" s="53"/>
      <c r="G96" s="53"/>
      <c r="H96" s="52"/>
      <c r="I96" s="52"/>
      <c r="J96" s="58"/>
      <c r="K96" s="51"/>
      <c r="L96" s="58"/>
      <c r="M96" s="58"/>
    </row>
    <row r="97" spans="1:13" ht="13.8" thickBot="1" x14ac:dyDescent="0.3">
      <c r="B97" s="51"/>
      <c r="C97" s="51" t="s">
        <v>366</v>
      </c>
      <c r="D97" s="51"/>
      <c r="E97" s="51"/>
      <c r="F97" s="95">
        <v>5</v>
      </c>
      <c r="G97" s="53" t="s">
        <v>260</v>
      </c>
      <c r="H97" s="95">
        <v>13</v>
      </c>
      <c r="I97" s="52" t="s">
        <v>261</v>
      </c>
      <c r="J97" s="58">
        <f t="shared" ref="J97:J101" si="10">F97*H97</f>
        <v>65</v>
      </c>
      <c r="K97" s="51" t="s">
        <v>57</v>
      </c>
      <c r="L97" s="58"/>
      <c r="M97" s="58"/>
    </row>
    <row r="98" spans="1:13" ht="13.8" thickBot="1" x14ac:dyDescent="0.3">
      <c r="B98" s="51"/>
      <c r="C98" s="51" t="s">
        <v>521</v>
      </c>
      <c r="D98" s="51"/>
      <c r="E98" s="51"/>
      <c r="F98" s="95"/>
      <c r="G98" s="53" t="s">
        <v>256</v>
      </c>
      <c r="H98" s="95"/>
      <c r="I98" s="52" t="s">
        <v>257</v>
      </c>
      <c r="J98" s="58">
        <f t="shared" si="10"/>
        <v>0</v>
      </c>
      <c r="K98" s="51" t="s">
        <v>57</v>
      </c>
      <c r="L98" s="58"/>
      <c r="M98" s="58"/>
    </row>
    <row r="99" spans="1:13" ht="13.8" thickBot="1" x14ac:dyDescent="0.3">
      <c r="B99" s="51"/>
      <c r="C99" s="51" t="s">
        <v>521</v>
      </c>
      <c r="D99" s="51"/>
      <c r="E99" s="51"/>
      <c r="F99" s="95"/>
      <c r="G99" s="53" t="s">
        <v>256</v>
      </c>
      <c r="H99" s="95"/>
      <c r="I99" s="52" t="s">
        <v>257</v>
      </c>
      <c r="J99" s="58">
        <f t="shared" si="10"/>
        <v>0</v>
      </c>
      <c r="K99" s="51" t="s">
        <v>57</v>
      </c>
      <c r="L99" s="58"/>
      <c r="M99" s="58"/>
    </row>
    <row r="100" spans="1:13" ht="13.8" thickBot="1" x14ac:dyDescent="0.3">
      <c r="B100" s="51"/>
      <c r="C100" s="51" t="s">
        <v>521</v>
      </c>
      <c r="D100" s="51"/>
      <c r="E100" s="51"/>
      <c r="F100" s="95"/>
      <c r="G100" s="53" t="s">
        <v>256</v>
      </c>
      <c r="H100" s="95"/>
      <c r="I100" s="52" t="s">
        <v>257</v>
      </c>
      <c r="J100" s="58">
        <f t="shared" si="10"/>
        <v>0</v>
      </c>
      <c r="K100" s="51" t="s">
        <v>57</v>
      </c>
      <c r="L100" s="58"/>
      <c r="M100" s="58"/>
    </row>
    <row r="101" spans="1:13" ht="13.8" thickBot="1" x14ac:dyDescent="0.3">
      <c r="B101" s="51"/>
      <c r="C101" s="51" t="s">
        <v>521</v>
      </c>
      <c r="D101" s="51"/>
      <c r="E101" s="51"/>
      <c r="F101" s="95"/>
      <c r="G101" s="53" t="s">
        <v>256</v>
      </c>
      <c r="H101" s="95"/>
      <c r="I101" s="52" t="s">
        <v>257</v>
      </c>
      <c r="J101" s="58">
        <f t="shared" si="10"/>
        <v>0</v>
      </c>
      <c r="K101" s="51" t="s">
        <v>57</v>
      </c>
      <c r="L101" s="58"/>
      <c r="M101" s="58"/>
    </row>
    <row r="102" spans="1:13" s="5" customFormat="1" x14ac:dyDescent="0.25">
      <c r="A102" s="575"/>
      <c r="B102" s="195"/>
      <c r="C102" s="195" t="s">
        <v>54</v>
      </c>
      <c r="D102" s="195"/>
      <c r="E102" s="195"/>
      <c r="F102" s="196"/>
      <c r="G102" s="196"/>
      <c r="H102" s="196"/>
      <c r="I102" s="197"/>
      <c r="J102" s="197">
        <f>SUM(J89:J101)</f>
        <v>229.22</v>
      </c>
      <c r="K102" s="195" t="s">
        <v>57</v>
      </c>
      <c r="L102" s="195"/>
      <c r="M102" s="195"/>
    </row>
    <row r="103" spans="1:13" x14ac:dyDescent="0.25">
      <c r="B103" s="51"/>
      <c r="C103" s="51"/>
      <c r="D103" s="51"/>
      <c r="E103" s="51"/>
      <c r="F103" s="53"/>
      <c r="G103" s="53"/>
      <c r="H103" s="52"/>
      <c r="I103" s="52"/>
      <c r="J103" s="58"/>
      <c r="K103" s="51"/>
      <c r="L103" s="58"/>
      <c r="M103" s="58"/>
    </row>
    <row r="104" spans="1:13" x14ac:dyDescent="0.25">
      <c r="A104" s="580"/>
    </row>
    <row r="105" spans="1:13" ht="15.6" x14ac:dyDescent="0.3">
      <c r="A105" s="580"/>
      <c r="B105" s="86" t="s">
        <v>367</v>
      </c>
      <c r="C105" s="61"/>
      <c r="D105" s="61"/>
      <c r="E105" s="61"/>
      <c r="F105" s="1071" t="s">
        <v>114</v>
      </c>
      <c r="G105" s="1071"/>
      <c r="H105" s="1071" t="s">
        <v>113</v>
      </c>
      <c r="I105" s="1071"/>
      <c r="J105" s="1071" t="s">
        <v>243</v>
      </c>
      <c r="K105" s="1071"/>
      <c r="L105" s="63"/>
      <c r="M105" s="63"/>
    </row>
    <row r="106" spans="1:13" ht="13.8" thickBot="1" x14ac:dyDescent="0.3">
      <c r="A106" s="580"/>
      <c r="B106" s="61"/>
      <c r="C106" s="61"/>
      <c r="D106" s="61"/>
      <c r="E106" s="61"/>
      <c r="F106" s="61"/>
      <c r="G106" s="61"/>
      <c r="H106" s="62"/>
      <c r="I106" s="62"/>
      <c r="J106" s="63"/>
      <c r="K106" s="63"/>
      <c r="L106" s="63"/>
      <c r="M106" s="63"/>
    </row>
    <row r="107" spans="1:13" ht="13.8" thickBot="1" x14ac:dyDescent="0.3">
      <c r="A107" s="580"/>
      <c r="B107" s="61"/>
      <c r="C107" s="61" t="s">
        <v>522</v>
      </c>
      <c r="D107" s="63"/>
      <c r="E107" s="61"/>
      <c r="F107" s="388">
        <f>S10*'Gårdens info'!$G$16/1</f>
        <v>4000</v>
      </c>
      <c r="G107" s="61" t="s">
        <v>31</v>
      </c>
      <c r="H107" s="77">
        <v>0.01</v>
      </c>
      <c r="I107" s="62" t="s">
        <v>246</v>
      </c>
      <c r="J107" s="64">
        <f>F107*H107</f>
        <v>40</v>
      </c>
      <c r="K107" s="61" t="s">
        <v>57</v>
      </c>
      <c r="L107" s="63"/>
      <c r="M107" s="63"/>
    </row>
    <row r="108" spans="1:13" ht="13.8" thickBot="1" x14ac:dyDescent="0.3">
      <c r="A108" s="580"/>
      <c r="B108" s="61"/>
      <c r="C108" s="61" t="s">
        <v>369</v>
      </c>
      <c r="D108" s="63"/>
      <c r="E108" s="61"/>
      <c r="F108" s="388">
        <f>S11*'Gårdens info'!$G$16/1</f>
        <v>0</v>
      </c>
      <c r="G108" s="61" t="s">
        <v>31</v>
      </c>
      <c r="H108" s="77">
        <v>0.01</v>
      </c>
      <c r="I108" s="62" t="s">
        <v>246</v>
      </c>
      <c r="J108" s="64">
        <f t="shared" ref="J108:J114" si="11">F108*H108</f>
        <v>0</v>
      </c>
      <c r="K108" s="61" t="s">
        <v>57</v>
      </c>
      <c r="L108" s="63"/>
      <c r="M108" s="63"/>
    </row>
    <row r="109" spans="1:13" ht="13.8" thickBot="1" x14ac:dyDescent="0.3">
      <c r="A109" s="580"/>
      <c r="B109" s="61"/>
      <c r="C109" s="61" t="s">
        <v>270</v>
      </c>
      <c r="D109" s="63"/>
      <c r="E109" s="61"/>
      <c r="F109" s="388">
        <f>S12*'Gårdens info'!$G$16/1</f>
        <v>0</v>
      </c>
      <c r="G109" s="61" t="s">
        <v>31</v>
      </c>
      <c r="H109" s="77">
        <v>0.01</v>
      </c>
      <c r="I109" s="62" t="s">
        <v>246</v>
      </c>
      <c r="J109" s="64">
        <f t="shared" si="11"/>
        <v>0</v>
      </c>
      <c r="K109" s="61" t="s">
        <v>57</v>
      </c>
      <c r="L109" s="63"/>
      <c r="M109" s="63"/>
    </row>
    <row r="110" spans="1:13" ht="13.8" thickBot="1" x14ac:dyDescent="0.3">
      <c r="A110" s="580"/>
      <c r="B110" s="61"/>
      <c r="C110" s="61" t="s">
        <v>271</v>
      </c>
      <c r="D110" s="63"/>
      <c r="E110" s="61"/>
      <c r="F110" s="388">
        <f>S13*'Gårdens info'!$G$16/1</f>
        <v>0</v>
      </c>
      <c r="G110" s="61" t="s">
        <v>31</v>
      </c>
      <c r="H110" s="77">
        <v>0.05</v>
      </c>
      <c r="I110" s="62" t="s">
        <v>246</v>
      </c>
      <c r="J110" s="64">
        <f t="shared" si="11"/>
        <v>0</v>
      </c>
      <c r="K110" s="61" t="s">
        <v>57</v>
      </c>
      <c r="L110" s="63"/>
      <c r="M110" s="63"/>
    </row>
    <row r="111" spans="1:13" ht="13.8" thickBot="1" x14ac:dyDescent="0.3">
      <c r="A111" s="580"/>
      <c r="B111" s="61"/>
      <c r="C111" s="77" t="s">
        <v>523</v>
      </c>
      <c r="D111" s="77"/>
      <c r="E111" s="61" t="s">
        <v>212</v>
      </c>
      <c r="F111" s="388">
        <f>IF(S14&gt;0,S14*'Gårdens info'!$G$16/D111,0)</f>
        <v>0</v>
      </c>
      <c r="G111" s="61" t="s">
        <v>31</v>
      </c>
      <c r="H111" s="77"/>
      <c r="I111" s="62" t="s">
        <v>246</v>
      </c>
      <c r="J111" s="64">
        <f t="shared" ref="J111:J112" si="12">F111*H111</f>
        <v>0</v>
      </c>
      <c r="K111" s="61" t="s">
        <v>57</v>
      </c>
      <c r="L111" s="63"/>
      <c r="M111" s="63"/>
    </row>
    <row r="112" spans="1:13" ht="13.8" thickBot="1" x14ac:dyDescent="0.3">
      <c r="A112" s="580"/>
      <c r="B112" s="61"/>
      <c r="C112" s="77" t="s">
        <v>523</v>
      </c>
      <c r="D112" s="77"/>
      <c r="E112" s="61" t="s">
        <v>212</v>
      </c>
      <c r="F112" s="388">
        <f>IF(S15&gt;0,S15*'Gårdens info'!$G$16/D112,0)</f>
        <v>0</v>
      </c>
      <c r="G112" s="61" t="s">
        <v>31</v>
      </c>
      <c r="H112" s="77"/>
      <c r="I112" s="62" t="s">
        <v>246</v>
      </c>
      <c r="J112" s="64">
        <f t="shared" si="12"/>
        <v>0</v>
      </c>
      <c r="K112" s="61" t="s">
        <v>57</v>
      </c>
      <c r="L112" s="63"/>
      <c r="M112" s="63"/>
    </row>
    <row r="113" spans="1:21" ht="13.8" thickBot="1" x14ac:dyDescent="0.3">
      <c r="A113" s="580"/>
      <c r="B113" s="61"/>
      <c r="C113" s="77" t="s">
        <v>523</v>
      </c>
      <c r="D113" s="77"/>
      <c r="E113" s="61" t="s">
        <v>212</v>
      </c>
      <c r="F113" s="388">
        <f>IF(S16&gt;0,S16*'Gårdens info'!$G$16/D113,0)</f>
        <v>0</v>
      </c>
      <c r="G113" s="61" t="s">
        <v>31</v>
      </c>
      <c r="H113" s="77"/>
      <c r="I113" s="62" t="s">
        <v>246</v>
      </c>
      <c r="J113" s="64">
        <f t="shared" si="11"/>
        <v>0</v>
      </c>
      <c r="K113" s="61" t="s">
        <v>57</v>
      </c>
      <c r="L113" s="63"/>
      <c r="M113" s="63"/>
    </row>
    <row r="114" spans="1:21" ht="13.8" thickBot="1" x14ac:dyDescent="0.3">
      <c r="A114" s="580"/>
      <c r="B114" s="61"/>
      <c r="C114" s="77" t="s">
        <v>523</v>
      </c>
      <c r="D114" s="77"/>
      <c r="E114" s="61" t="s">
        <v>212</v>
      </c>
      <c r="F114" s="388">
        <f>IF(S17&gt;0,S17*'Gårdens info'!$G$16/D114,0)</f>
        <v>0</v>
      </c>
      <c r="G114" s="61" t="s">
        <v>31</v>
      </c>
      <c r="H114" s="77"/>
      <c r="I114" s="62" t="s">
        <v>246</v>
      </c>
      <c r="J114" s="64">
        <f t="shared" si="11"/>
        <v>0</v>
      </c>
      <c r="K114" s="61" t="s">
        <v>57</v>
      </c>
      <c r="L114" s="63"/>
      <c r="M114" s="63"/>
    </row>
    <row r="115" spans="1:21" x14ac:dyDescent="0.25">
      <c r="A115" s="580"/>
      <c r="B115" s="198"/>
      <c r="C115" s="198" t="s">
        <v>54</v>
      </c>
      <c r="D115" s="198"/>
      <c r="E115" s="198"/>
      <c r="F115" s="198"/>
      <c r="G115" s="198"/>
      <c r="H115" s="199"/>
      <c r="I115" s="199"/>
      <c r="J115" s="200">
        <f>SUM(J107:J114)</f>
        <v>40</v>
      </c>
      <c r="K115" s="198" t="s">
        <v>57</v>
      </c>
      <c r="L115" s="198"/>
      <c r="M115" s="198"/>
    </row>
    <row r="116" spans="1:21" x14ac:dyDescent="0.25">
      <c r="A116" s="580"/>
      <c r="B116" s="61"/>
      <c r="C116" s="61"/>
      <c r="D116" s="61"/>
      <c r="E116" s="61"/>
      <c r="F116" s="61"/>
      <c r="G116" s="61"/>
      <c r="H116" s="62"/>
      <c r="I116" s="62"/>
      <c r="J116" s="64"/>
      <c r="K116" s="61"/>
      <c r="L116" s="63"/>
      <c r="M116" s="63"/>
    </row>
    <row r="117" spans="1:21" x14ac:dyDescent="0.25">
      <c r="A117" s="580"/>
    </row>
    <row r="118" spans="1:21" s="5" customFormat="1" ht="15.6" x14ac:dyDescent="0.3">
      <c r="A118" s="581"/>
      <c r="B118" s="87" t="s">
        <v>273</v>
      </c>
      <c r="C118" s="65"/>
      <c r="D118" s="65"/>
      <c r="E118" s="65"/>
      <c r="F118" s="1072" t="s">
        <v>114</v>
      </c>
      <c r="G118" s="1072"/>
      <c r="H118" s="1072" t="s">
        <v>113</v>
      </c>
      <c r="I118" s="1072"/>
      <c r="J118" s="1072" t="s">
        <v>243</v>
      </c>
      <c r="K118" s="1072"/>
      <c r="L118" s="67"/>
      <c r="M118" s="67"/>
      <c r="N118"/>
      <c r="O118"/>
      <c r="P118"/>
      <c r="Q118"/>
      <c r="R118"/>
      <c r="S118"/>
      <c r="T118"/>
      <c r="U118"/>
    </row>
    <row r="119" spans="1:21" ht="13.8" thickBot="1" x14ac:dyDescent="0.3">
      <c r="A119" s="580"/>
      <c r="B119" s="65"/>
      <c r="C119" s="65"/>
      <c r="D119" s="65"/>
      <c r="E119" s="65"/>
      <c r="F119" s="65"/>
      <c r="G119" s="65"/>
      <c r="H119" s="66"/>
      <c r="I119" s="66"/>
      <c r="J119" s="67"/>
      <c r="K119" s="67"/>
      <c r="L119" s="67"/>
      <c r="M119" s="67"/>
    </row>
    <row r="120" spans="1:21" ht="13.8" thickBot="1" x14ac:dyDescent="0.3">
      <c r="A120" s="580"/>
      <c r="B120" s="65"/>
      <c r="C120" s="65" t="s">
        <v>222</v>
      </c>
      <c r="D120" s="67"/>
      <c r="E120" s="65"/>
      <c r="F120" s="74">
        <f>'Gårdens info'!G12*'Gårdens info'!D12*0.9</f>
        <v>540000</v>
      </c>
      <c r="G120" s="65" t="s">
        <v>212</v>
      </c>
      <c r="H120" s="77">
        <v>0.02</v>
      </c>
      <c r="I120" s="66" t="s">
        <v>206</v>
      </c>
      <c r="J120" s="68">
        <f t="shared" ref="J120:J122" si="13">F120*H120</f>
        <v>10800</v>
      </c>
      <c r="K120" s="65" t="s">
        <v>57</v>
      </c>
      <c r="L120" s="67"/>
      <c r="M120" s="67"/>
      <c r="N120" s="5"/>
      <c r="O120" s="5"/>
      <c r="P120" s="5"/>
      <c r="Q120" s="5"/>
      <c r="R120" s="5"/>
      <c r="S120" s="5"/>
      <c r="T120" s="5"/>
      <c r="U120" s="5"/>
    </row>
    <row r="121" spans="1:21" ht="13.8" thickBot="1" x14ac:dyDescent="0.3">
      <c r="A121" s="580"/>
      <c r="B121" s="65"/>
      <c r="C121" s="65" t="s">
        <v>372</v>
      </c>
      <c r="D121" s="65"/>
      <c r="E121" s="65"/>
      <c r="F121" s="74"/>
      <c r="G121" s="65" t="s">
        <v>212</v>
      </c>
      <c r="H121" s="77"/>
      <c r="I121" s="66" t="s">
        <v>206</v>
      </c>
      <c r="J121" s="68">
        <f t="shared" si="13"/>
        <v>0</v>
      </c>
      <c r="K121" s="65" t="s">
        <v>57</v>
      </c>
      <c r="L121" s="67"/>
      <c r="M121" s="67"/>
    </row>
    <row r="122" spans="1:21" ht="13.8" thickBot="1" x14ac:dyDescent="0.3">
      <c r="A122" s="580"/>
      <c r="B122" s="65"/>
      <c r="C122" s="65" t="s">
        <v>372</v>
      </c>
      <c r="D122" s="65"/>
      <c r="E122" s="65"/>
      <c r="F122" s="74"/>
      <c r="G122" s="65" t="s">
        <v>212</v>
      </c>
      <c r="H122" s="77"/>
      <c r="I122" s="66" t="s">
        <v>206</v>
      </c>
      <c r="J122" s="68">
        <f t="shared" si="13"/>
        <v>0</v>
      </c>
      <c r="K122" s="65" t="s">
        <v>57</v>
      </c>
      <c r="L122" s="67"/>
      <c r="M122" s="67"/>
    </row>
    <row r="123" spans="1:21" x14ac:dyDescent="0.25">
      <c r="A123" s="580"/>
      <c r="B123" s="201"/>
      <c r="C123" s="201" t="s">
        <v>54</v>
      </c>
      <c r="D123" s="201"/>
      <c r="E123" s="201"/>
      <c r="F123" s="201"/>
      <c r="G123" s="201"/>
      <c r="H123" s="202"/>
      <c r="I123" s="202"/>
      <c r="J123" s="203">
        <f>SUM(J120:J122)</f>
        <v>10800</v>
      </c>
      <c r="K123" s="201" t="s">
        <v>57</v>
      </c>
      <c r="L123" s="201"/>
      <c r="M123" s="201"/>
    </row>
    <row r="124" spans="1:21" x14ac:dyDescent="0.25">
      <c r="A124" s="580"/>
      <c r="B124" s="65"/>
      <c r="C124" s="65"/>
      <c r="D124" s="65"/>
      <c r="E124" s="65"/>
      <c r="F124" s="65"/>
      <c r="G124" s="65"/>
      <c r="H124" s="66"/>
      <c r="I124" s="66"/>
      <c r="J124" s="68"/>
      <c r="K124" s="65"/>
      <c r="L124" s="67"/>
      <c r="M124" s="67"/>
    </row>
    <row r="125" spans="1:21" x14ac:dyDescent="0.25">
      <c r="A125" s="580"/>
    </row>
    <row r="126" spans="1:21" ht="15.6" x14ac:dyDescent="0.3">
      <c r="A126" s="580"/>
      <c r="B126" s="176" t="s">
        <v>275</v>
      </c>
      <c r="C126" s="177"/>
      <c r="D126" s="177"/>
      <c r="E126" s="177"/>
      <c r="F126" s="1067" t="s">
        <v>114</v>
      </c>
      <c r="G126" s="1067"/>
      <c r="H126" s="1067" t="s">
        <v>113</v>
      </c>
      <c r="I126" s="1067"/>
      <c r="J126" s="1067" t="s">
        <v>243</v>
      </c>
      <c r="K126" s="1067"/>
      <c r="L126" s="179"/>
      <c r="M126" s="179"/>
    </row>
    <row r="127" spans="1:21" ht="13.8" thickBot="1" x14ac:dyDescent="0.3">
      <c r="A127" s="580"/>
      <c r="B127" s="177"/>
      <c r="C127" s="177"/>
      <c r="D127" s="177"/>
      <c r="E127" s="177"/>
      <c r="F127" s="177"/>
      <c r="G127" s="177"/>
      <c r="H127" s="178"/>
      <c r="I127" s="178"/>
      <c r="J127" s="179"/>
      <c r="K127" s="179"/>
      <c r="L127" s="179"/>
      <c r="M127" s="179"/>
    </row>
    <row r="128" spans="1:21" ht="13.8" thickBot="1" x14ac:dyDescent="0.3">
      <c r="A128" s="580"/>
      <c r="B128" s="177"/>
      <c r="C128" s="177" t="s">
        <v>276</v>
      </c>
      <c r="D128" s="179"/>
      <c r="E128" s="177"/>
      <c r="F128" s="74"/>
      <c r="G128" s="177" t="s">
        <v>7</v>
      </c>
      <c r="H128" s="77"/>
      <c r="I128" s="178" t="s">
        <v>57</v>
      </c>
      <c r="J128" s="180">
        <f t="shared" ref="J128:J130" si="14">F128*H128</f>
        <v>0</v>
      </c>
      <c r="K128" s="177" t="s">
        <v>57</v>
      </c>
      <c r="L128" s="179"/>
      <c r="M128" s="179"/>
    </row>
    <row r="129" spans="1:21" ht="13.8" thickBot="1" x14ac:dyDescent="0.3">
      <c r="B129" s="177"/>
      <c r="C129" s="177" t="s">
        <v>276</v>
      </c>
      <c r="D129" s="177"/>
      <c r="E129" s="177"/>
      <c r="F129" s="74"/>
      <c r="G129" s="177" t="s">
        <v>7</v>
      </c>
      <c r="H129" s="77"/>
      <c r="I129" s="178" t="s">
        <v>57</v>
      </c>
      <c r="J129" s="180">
        <f t="shared" si="14"/>
        <v>0</v>
      </c>
      <c r="K129" s="177" t="s">
        <v>57</v>
      </c>
      <c r="L129" s="179"/>
      <c r="M129" s="179"/>
    </row>
    <row r="130" spans="1:21" ht="13.8" thickBot="1" x14ac:dyDescent="0.3">
      <c r="B130" s="177"/>
      <c r="C130" s="177" t="s">
        <v>276</v>
      </c>
      <c r="D130" s="177"/>
      <c r="E130" s="177"/>
      <c r="F130" s="74"/>
      <c r="G130" s="177" t="s">
        <v>7</v>
      </c>
      <c r="H130" s="77"/>
      <c r="I130" s="178" t="s">
        <v>57</v>
      </c>
      <c r="J130" s="180">
        <f t="shared" si="14"/>
        <v>0</v>
      </c>
      <c r="K130" s="177" t="s">
        <v>57</v>
      </c>
      <c r="L130" s="179"/>
      <c r="M130" s="179"/>
    </row>
    <row r="131" spans="1:21" s="5" customFormat="1" x14ac:dyDescent="0.25">
      <c r="A131" s="575"/>
      <c r="B131" s="204"/>
      <c r="C131" s="204" t="s">
        <v>54</v>
      </c>
      <c r="D131" s="204"/>
      <c r="E131" s="204"/>
      <c r="F131" s="204"/>
      <c r="G131" s="204"/>
      <c r="H131" s="205"/>
      <c r="I131" s="205"/>
      <c r="J131" s="206">
        <f>SUM(J128:J130)</f>
        <v>0</v>
      </c>
      <c r="K131" s="204" t="s">
        <v>57</v>
      </c>
      <c r="L131" s="204"/>
      <c r="M131" s="204"/>
      <c r="N131"/>
      <c r="O131"/>
      <c r="P131"/>
      <c r="Q131"/>
      <c r="R131"/>
      <c r="S131"/>
      <c r="T131"/>
      <c r="U131"/>
    </row>
    <row r="132" spans="1:21" x14ac:dyDescent="0.25">
      <c r="B132" s="177"/>
      <c r="C132" s="177"/>
      <c r="D132" s="177"/>
      <c r="E132" s="177"/>
      <c r="F132" s="177"/>
      <c r="G132" s="177"/>
      <c r="H132" s="178"/>
      <c r="I132" s="178"/>
      <c r="J132" s="180"/>
      <c r="K132" s="177"/>
      <c r="L132" s="179"/>
      <c r="M132" s="179"/>
    </row>
    <row r="133" spans="1:21" ht="30" customHeight="1" x14ac:dyDescent="0.25">
      <c r="N133" s="5"/>
      <c r="O133" s="5"/>
      <c r="P133" s="5"/>
      <c r="Q133" s="5"/>
      <c r="R133" s="5"/>
      <c r="S133" s="5"/>
      <c r="T133" s="5"/>
      <c r="U133" s="5"/>
    </row>
    <row r="134" spans="1:21" ht="15.6" x14ac:dyDescent="0.3">
      <c r="B134" s="181" t="s">
        <v>490</v>
      </c>
      <c r="C134" s="182"/>
      <c r="D134" s="182"/>
      <c r="E134" s="183"/>
      <c r="F134" s="182" t="s">
        <v>114</v>
      </c>
      <c r="G134" s="184"/>
      <c r="H134" s="184" t="s">
        <v>113</v>
      </c>
      <c r="I134" s="182"/>
      <c r="J134" s="182" t="s">
        <v>243</v>
      </c>
      <c r="K134" s="185"/>
      <c r="L134" s="185"/>
      <c r="M134" s="185"/>
    </row>
    <row r="135" spans="1:21" ht="16.2" thickBot="1" x14ac:dyDescent="0.35">
      <c r="B135" s="181"/>
      <c r="C135" s="182"/>
      <c r="D135" s="182"/>
      <c r="E135" s="183"/>
      <c r="F135" s="182"/>
      <c r="G135" s="184"/>
      <c r="H135" s="184"/>
      <c r="I135" s="182"/>
      <c r="J135" s="182"/>
      <c r="K135" s="185"/>
      <c r="L135" s="185"/>
      <c r="M135" s="185"/>
    </row>
    <row r="136" spans="1:21" ht="13.8" thickBot="1" x14ac:dyDescent="0.3">
      <c r="B136" s="182"/>
      <c r="C136" s="182" t="s">
        <v>278</v>
      </c>
      <c r="D136" s="185"/>
      <c r="E136" s="186"/>
      <c r="F136" s="74">
        <v>1000</v>
      </c>
      <c r="G136" s="187" t="s">
        <v>279</v>
      </c>
      <c r="H136" s="74">
        <v>0.15</v>
      </c>
      <c r="I136" s="188" t="s">
        <v>280</v>
      </c>
      <c r="J136" s="185">
        <f>H136*F136</f>
        <v>150</v>
      </c>
      <c r="K136" s="188" t="s">
        <v>57</v>
      </c>
      <c r="L136" s="185"/>
      <c r="M136" s="185"/>
    </row>
    <row r="137" spans="1:21" ht="13.8" thickBot="1" x14ac:dyDescent="0.3">
      <c r="B137" s="182"/>
      <c r="C137" s="182" t="s">
        <v>281</v>
      </c>
      <c r="D137" s="188">
        <f>F169/2</f>
        <v>43.5</v>
      </c>
      <c r="E137" s="182" t="s">
        <v>282</v>
      </c>
      <c r="F137" s="74">
        <f>+D137*8</f>
        <v>348</v>
      </c>
      <c r="G137" s="184" t="s">
        <v>256</v>
      </c>
      <c r="H137" s="74">
        <v>0.83</v>
      </c>
      <c r="I137" s="188" t="s">
        <v>257</v>
      </c>
      <c r="J137" s="185">
        <f>H137*F137</f>
        <v>288.83999999999997</v>
      </c>
      <c r="K137" s="188" t="s">
        <v>57</v>
      </c>
      <c r="L137" s="185"/>
      <c r="M137" s="185"/>
    </row>
    <row r="138" spans="1:21" ht="13.8" thickBot="1" x14ac:dyDescent="0.3">
      <c r="B138" s="182"/>
      <c r="C138" s="182" t="s">
        <v>283</v>
      </c>
      <c r="D138" s="188">
        <f>D137</f>
        <v>43.5</v>
      </c>
      <c r="E138" s="182" t="s">
        <v>282</v>
      </c>
      <c r="F138" s="74">
        <v>11.88</v>
      </c>
      <c r="G138" s="184" t="s">
        <v>212</v>
      </c>
      <c r="H138" s="74">
        <v>4</v>
      </c>
      <c r="I138" s="188" t="s">
        <v>206</v>
      </c>
      <c r="J138" s="185">
        <f t="shared" ref="J138:J142" si="15">H138*F138</f>
        <v>47.52</v>
      </c>
      <c r="K138" s="188" t="s">
        <v>57</v>
      </c>
      <c r="L138" s="185"/>
      <c r="M138" s="185"/>
    </row>
    <row r="139" spans="1:21" ht="13.8" thickBot="1" x14ac:dyDescent="0.3">
      <c r="B139" s="182"/>
      <c r="C139" s="182" t="s">
        <v>284</v>
      </c>
      <c r="D139" s="185"/>
      <c r="E139" s="188"/>
      <c r="F139" s="74">
        <v>200</v>
      </c>
      <c r="G139" s="184" t="s">
        <v>256</v>
      </c>
      <c r="H139" s="74">
        <v>1.53</v>
      </c>
      <c r="I139" s="188" t="s">
        <v>257</v>
      </c>
      <c r="J139" s="185">
        <f t="shared" si="15"/>
        <v>306</v>
      </c>
      <c r="K139" s="188" t="s">
        <v>57</v>
      </c>
      <c r="L139" s="185"/>
      <c r="M139" s="185"/>
    </row>
    <row r="140" spans="1:21" ht="13.8" thickBot="1" x14ac:dyDescent="0.3">
      <c r="B140" s="182"/>
      <c r="C140" s="182" t="s">
        <v>285</v>
      </c>
      <c r="D140" s="185"/>
      <c r="E140" s="188"/>
      <c r="F140" s="74"/>
      <c r="G140" s="184" t="s">
        <v>256</v>
      </c>
      <c r="H140" s="74"/>
      <c r="I140" s="188" t="s">
        <v>257</v>
      </c>
      <c r="J140" s="185">
        <f t="shared" si="15"/>
        <v>0</v>
      </c>
      <c r="K140" s="188" t="s">
        <v>57</v>
      </c>
      <c r="L140" s="185"/>
      <c r="M140" s="185"/>
    </row>
    <row r="141" spans="1:21" ht="13.8" thickBot="1" x14ac:dyDescent="0.3">
      <c r="B141" s="182"/>
      <c r="C141" s="182" t="s">
        <v>286</v>
      </c>
      <c r="D141" s="185"/>
      <c r="E141" s="188"/>
      <c r="F141" s="74"/>
      <c r="G141" s="184"/>
      <c r="H141" s="74"/>
      <c r="I141" s="188"/>
      <c r="J141" s="185">
        <f t="shared" si="15"/>
        <v>0</v>
      </c>
      <c r="K141" s="188" t="s">
        <v>57</v>
      </c>
      <c r="L141" s="185"/>
      <c r="M141" s="185"/>
    </row>
    <row r="142" spans="1:21" ht="13.8" thickBot="1" x14ac:dyDescent="0.3">
      <c r="B142" s="185"/>
      <c r="C142" s="182" t="s">
        <v>286</v>
      </c>
      <c r="D142" s="185"/>
      <c r="E142" s="185"/>
      <c r="F142" s="74"/>
      <c r="G142" s="185"/>
      <c r="H142" s="74"/>
      <c r="I142" s="185"/>
      <c r="J142" s="185">
        <f t="shared" si="15"/>
        <v>0</v>
      </c>
      <c r="K142" s="188" t="s">
        <v>57</v>
      </c>
      <c r="L142" s="185"/>
      <c r="M142" s="185"/>
    </row>
    <row r="143" spans="1:21" s="5" customFormat="1" x14ac:dyDescent="0.25">
      <c r="A143" s="575"/>
      <c r="B143" s="207"/>
      <c r="C143" s="207" t="s">
        <v>54</v>
      </c>
      <c r="D143" s="207"/>
      <c r="E143" s="207"/>
      <c r="F143" s="207"/>
      <c r="G143" s="207"/>
      <c r="H143" s="207"/>
      <c r="I143" s="207"/>
      <c r="J143" s="207">
        <f>SUM(J136:J142)</f>
        <v>792.3599999999999</v>
      </c>
      <c r="K143" s="208" t="s">
        <v>57</v>
      </c>
      <c r="L143" s="207"/>
      <c r="M143" s="207"/>
    </row>
    <row r="144" spans="1:21" x14ac:dyDescent="0.25">
      <c r="B144" s="185"/>
      <c r="C144" s="185"/>
      <c r="D144" s="185"/>
      <c r="E144" s="185"/>
      <c r="F144" s="185"/>
      <c r="G144" s="185"/>
      <c r="H144" s="185"/>
      <c r="I144" s="185"/>
      <c r="J144" s="185"/>
      <c r="K144" s="185"/>
      <c r="L144" s="185"/>
      <c r="M144" s="185"/>
    </row>
    <row r="146" spans="1:21" ht="15.6" x14ac:dyDescent="0.3">
      <c r="B146" s="88" t="s">
        <v>287</v>
      </c>
      <c r="C146" s="79"/>
      <c r="D146" s="79"/>
      <c r="E146" s="79"/>
      <c r="F146" s="79"/>
      <c r="G146" s="79"/>
      <c r="H146" s="79"/>
      <c r="I146" s="79"/>
      <c r="J146" s="79"/>
      <c r="K146" s="79"/>
      <c r="L146" s="79"/>
      <c r="M146" s="79"/>
    </row>
    <row r="147" spans="1:21" ht="15.6" x14ac:dyDescent="0.3">
      <c r="B147" s="88"/>
      <c r="C147" s="79"/>
      <c r="D147" s="79"/>
      <c r="E147" s="79"/>
      <c r="F147" s="79"/>
      <c r="G147" s="79"/>
      <c r="H147" s="79"/>
      <c r="I147" s="79"/>
      <c r="J147" s="79"/>
      <c r="K147" s="79"/>
      <c r="L147" s="79"/>
      <c r="M147" s="79"/>
    </row>
    <row r="148" spans="1:21" ht="15" customHeight="1" x14ac:dyDescent="0.25">
      <c r="B148" s="1112" t="s">
        <v>499</v>
      </c>
      <c r="C148" s="1112"/>
      <c r="D148" s="1112"/>
      <c r="E148" s="1112"/>
      <c r="F148" s="1112"/>
      <c r="G148" s="1112"/>
      <c r="H148" s="1112"/>
      <c r="I148" s="1112"/>
      <c r="J148" s="1112"/>
      <c r="K148" s="1112"/>
      <c r="L148" s="1112"/>
      <c r="M148" s="1112"/>
    </row>
    <row r="149" spans="1:21" s="5" customFormat="1" x14ac:dyDescent="0.25">
      <c r="A149" s="575"/>
      <c r="B149" s="1112"/>
      <c r="C149" s="1112"/>
      <c r="D149" s="1112"/>
      <c r="E149" s="1112"/>
      <c r="F149" s="1112"/>
      <c r="G149" s="1112"/>
      <c r="H149" s="1112"/>
      <c r="I149" s="1112"/>
      <c r="J149" s="1112"/>
      <c r="K149" s="1112"/>
      <c r="L149" s="1112"/>
      <c r="M149" s="1112"/>
      <c r="N149"/>
      <c r="O149"/>
      <c r="P149"/>
      <c r="Q149"/>
      <c r="R149"/>
      <c r="S149"/>
      <c r="T149"/>
      <c r="U149"/>
    </row>
    <row r="150" spans="1:21" ht="15.6" x14ac:dyDescent="0.3">
      <c r="B150" s="88"/>
      <c r="C150" s="79"/>
      <c r="D150" s="79"/>
      <c r="E150" s="1069" t="s">
        <v>290</v>
      </c>
      <c r="F150" s="1069"/>
      <c r="G150" s="1069"/>
      <c r="H150" s="1070" t="s">
        <v>113</v>
      </c>
      <c r="I150" s="1070"/>
      <c r="J150" s="1069" t="s">
        <v>291</v>
      </c>
      <c r="K150" s="1069"/>
      <c r="L150" s="1070" t="s">
        <v>113</v>
      </c>
      <c r="M150" s="1070"/>
    </row>
    <row r="151" spans="1:21" ht="33" customHeight="1" thickBot="1" x14ac:dyDescent="0.3">
      <c r="B151" s="78"/>
      <c r="C151" s="79"/>
      <c r="D151" s="79"/>
      <c r="E151" s="79"/>
      <c r="F151" s="79"/>
      <c r="G151" s="79"/>
      <c r="H151" s="79"/>
      <c r="I151" s="79"/>
      <c r="J151" s="79"/>
      <c r="K151" s="79"/>
      <c r="L151" s="79"/>
      <c r="M151" s="79"/>
      <c r="N151" s="5"/>
      <c r="O151" s="5"/>
      <c r="P151" s="5"/>
      <c r="R151" s="5"/>
      <c r="S151" s="5"/>
      <c r="T151" s="5"/>
      <c r="U151" s="5"/>
    </row>
    <row r="152" spans="1:21" ht="13.8" thickBot="1" x14ac:dyDescent="0.3">
      <c r="B152" s="79"/>
      <c r="C152" s="80" t="s">
        <v>292</v>
      </c>
      <c r="D152" s="79"/>
      <c r="E152" s="79"/>
      <c r="F152" s="91">
        <v>2</v>
      </c>
      <c r="G152" s="82" t="s">
        <v>293</v>
      </c>
      <c r="H152" s="93">
        <v>14.5</v>
      </c>
      <c r="I152" s="82" t="s">
        <v>294</v>
      </c>
      <c r="J152" s="92"/>
      <c r="K152" s="82" t="s">
        <v>293</v>
      </c>
      <c r="L152" s="93">
        <v>14.5</v>
      </c>
      <c r="M152" s="82" t="s">
        <v>294</v>
      </c>
    </row>
    <row r="153" spans="1:21" ht="13.8" thickBot="1" x14ac:dyDescent="0.3">
      <c r="B153" s="79"/>
      <c r="C153" s="80" t="s">
        <v>524</v>
      </c>
      <c r="D153" s="79"/>
      <c r="E153" s="79"/>
      <c r="F153" s="91">
        <v>4</v>
      </c>
      <c r="G153" s="82" t="s">
        <v>293</v>
      </c>
      <c r="H153" s="90">
        <f>$H$152</f>
        <v>14.5</v>
      </c>
      <c r="I153" s="82" t="s">
        <v>294</v>
      </c>
      <c r="J153" s="92"/>
      <c r="K153" s="82" t="s">
        <v>293</v>
      </c>
      <c r="L153" s="90">
        <f>$L$152</f>
        <v>14.5</v>
      </c>
      <c r="M153" s="82" t="s">
        <v>294</v>
      </c>
    </row>
    <row r="154" spans="1:21" ht="13.8" thickBot="1" x14ac:dyDescent="0.3">
      <c r="B154" s="79"/>
      <c r="C154" s="80" t="s">
        <v>525</v>
      </c>
      <c r="D154" s="79"/>
      <c r="E154" s="79"/>
      <c r="F154" s="91">
        <v>2</v>
      </c>
      <c r="G154" s="82" t="s">
        <v>293</v>
      </c>
      <c r="H154" s="90">
        <f t="shared" ref="H154:H167" si="16">$H$152</f>
        <v>14.5</v>
      </c>
      <c r="I154" s="82" t="s">
        <v>294</v>
      </c>
      <c r="J154" s="92"/>
      <c r="K154" s="82" t="s">
        <v>293</v>
      </c>
      <c r="L154" s="90">
        <f t="shared" ref="L154:L168" si="17">$L$152</f>
        <v>14.5</v>
      </c>
      <c r="M154" s="82" t="s">
        <v>294</v>
      </c>
    </row>
    <row r="155" spans="1:21" ht="13.8" thickBot="1" x14ac:dyDescent="0.3">
      <c r="B155" s="79"/>
      <c r="C155" s="80" t="s">
        <v>381</v>
      </c>
      <c r="D155" s="79"/>
      <c r="E155" s="79"/>
      <c r="F155" s="91">
        <v>5</v>
      </c>
      <c r="G155" s="82" t="s">
        <v>293</v>
      </c>
      <c r="H155" s="90">
        <f t="shared" si="16"/>
        <v>14.5</v>
      </c>
      <c r="I155" s="82" t="s">
        <v>294</v>
      </c>
      <c r="J155" s="92"/>
      <c r="K155" s="82" t="s">
        <v>293</v>
      </c>
      <c r="L155" s="90">
        <f t="shared" si="17"/>
        <v>14.5</v>
      </c>
      <c r="M155" s="82" t="s">
        <v>294</v>
      </c>
    </row>
    <row r="156" spans="1:21" ht="13.8" thickBot="1" x14ac:dyDescent="0.3">
      <c r="B156" s="79"/>
      <c r="C156" s="80" t="s">
        <v>501</v>
      </c>
      <c r="D156" s="79"/>
      <c r="E156" s="79"/>
      <c r="F156" s="91">
        <v>8</v>
      </c>
      <c r="G156" s="82" t="s">
        <v>293</v>
      </c>
      <c r="H156" s="90">
        <f t="shared" si="16"/>
        <v>14.5</v>
      </c>
      <c r="I156" s="82" t="s">
        <v>294</v>
      </c>
      <c r="J156" s="92"/>
      <c r="K156" s="82" t="s">
        <v>293</v>
      </c>
      <c r="L156" s="90">
        <f t="shared" si="17"/>
        <v>14.5</v>
      </c>
      <c r="M156" s="82" t="s">
        <v>294</v>
      </c>
    </row>
    <row r="157" spans="1:21" ht="13.8" thickBot="1" x14ac:dyDescent="0.3">
      <c r="B157" s="79"/>
      <c r="C157" s="80" t="s">
        <v>502</v>
      </c>
      <c r="D157" s="79"/>
      <c r="E157" s="79"/>
      <c r="F157" s="91">
        <v>4</v>
      </c>
      <c r="G157" s="82" t="s">
        <v>293</v>
      </c>
      <c r="H157" s="90">
        <f t="shared" si="16"/>
        <v>14.5</v>
      </c>
      <c r="I157" s="82" t="s">
        <v>294</v>
      </c>
      <c r="J157" s="92"/>
      <c r="K157" s="82" t="s">
        <v>293</v>
      </c>
      <c r="L157" s="90">
        <f t="shared" si="17"/>
        <v>14.5</v>
      </c>
      <c r="M157" s="82" t="s">
        <v>294</v>
      </c>
    </row>
    <row r="158" spans="1:21" s="5" customFormat="1" ht="13.8" thickBot="1" x14ac:dyDescent="0.3">
      <c r="A158" s="575"/>
      <c r="B158" s="79"/>
      <c r="C158" s="80" t="s">
        <v>503</v>
      </c>
      <c r="D158" s="79"/>
      <c r="E158" s="79"/>
      <c r="F158" s="91">
        <v>10</v>
      </c>
      <c r="G158" s="82" t="s">
        <v>293</v>
      </c>
      <c r="H158" s="90">
        <f t="shared" si="16"/>
        <v>14.5</v>
      </c>
      <c r="I158" s="82" t="s">
        <v>294</v>
      </c>
      <c r="J158" s="92"/>
      <c r="K158" s="82" t="s">
        <v>293</v>
      </c>
      <c r="L158" s="90">
        <f t="shared" si="17"/>
        <v>14.5</v>
      </c>
      <c r="M158" s="82" t="s">
        <v>294</v>
      </c>
      <c r="N158"/>
      <c r="O158"/>
      <c r="P158"/>
      <c r="R158"/>
      <c r="S158"/>
      <c r="T158"/>
      <c r="U158"/>
    </row>
    <row r="159" spans="1:21" ht="13.8" thickBot="1" x14ac:dyDescent="0.3">
      <c r="B159" s="79"/>
      <c r="C159" s="80" t="s">
        <v>504</v>
      </c>
      <c r="D159" s="79"/>
      <c r="E159" s="79"/>
      <c r="F159" s="91">
        <v>4</v>
      </c>
      <c r="G159" s="82" t="s">
        <v>293</v>
      </c>
      <c r="H159" s="90">
        <f t="shared" si="16"/>
        <v>14.5</v>
      </c>
      <c r="I159" s="82" t="s">
        <v>294</v>
      </c>
      <c r="J159" s="92"/>
      <c r="K159" s="82" t="s">
        <v>293</v>
      </c>
      <c r="L159" s="90">
        <f t="shared" si="17"/>
        <v>14.5</v>
      </c>
      <c r="M159" s="82" t="s">
        <v>294</v>
      </c>
    </row>
    <row r="160" spans="1:21" ht="13.8" thickBot="1" x14ac:dyDescent="0.3">
      <c r="B160" s="79"/>
      <c r="C160" s="80" t="s">
        <v>526</v>
      </c>
      <c r="D160" s="79"/>
      <c r="E160" s="79"/>
      <c r="F160" s="91">
        <v>4</v>
      </c>
      <c r="G160" s="82" t="s">
        <v>293</v>
      </c>
      <c r="H160" s="90">
        <f t="shared" si="16"/>
        <v>14.5</v>
      </c>
      <c r="I160" s="82" t="s">
        <v>294</v>
      </c>
      <c r="J160" s="92"/>
      <c r="K160" s="82" t="s">
        <v>293</v>
      </c>
      <c r="L160" s="90">
        <f t="shared" si="17"/>
        <v>14.5</v>
      </c>
      <c r="M160" s="82" t="s">
        <v>294</v>
      </c>
      <c r="N160" s="5"/>
      <c r="O160" s="5"/>
      <c r="P160" s="5"/>
      <c r="R160" s="5"/>
      <c r="S160" s="5"/>
      <c r="T160" s="5"/>
      <c r="U160" s="5"/>
    </row>
    <row r="161" spans="2:21" ht="13.8" thickBot="1" x14ac:dyDescent="0.3">
      <c r="B161" s="79"/>
      <c r="C161" s="80" t="s">
        <v>303</v>
      </c>
      <c r="D161" s="79"/>
      <c r="E161" s="79"/>
      <c r="F161" s="91">
        <v>4</v>
      </c>
      <c r="G161" s="82" t="s">
        <v>293</v>
      </c>
      <c r="H161" s="90">
        <f t="shared" si="16"/>
        <v>14.5</v>
      </c>
      <c r="I161" s="82" t="s">
        <v>294</v>
      </c>
      <c r="J161" s="92"/>
      <c r="K161" s="82" t="s">
        <v>293</v>
      </c>
      <c r="L161" s="90">
        <f t="shared" si="17"/>
        <v>14.5</v>
      </c>
      <c r="M161" s="82" t="s">
        <v>294</v>
      </c>
    </row>
    <row r="162" spans="2:21" ht="13.8" thickBot="1" x14ac:dyDescent="0.3">
      <c r="B162" s="79"/>
      <c r="C162" s="80" t="s">
        <v>38</v>
      </c>
      <c r="D162" s="79"/>
      <c r="E162" s="79"/>
      <c r="F162" s="91">
        <v>20</v>
      </c>
      <c r="G162" s="82" t="s">
        <v>293</v>
      </c>
      <c r="H162" s="90">
        <f t="shared" si="16"/>
        <v>14.5</v>
      </c>
      <c r="I162" s="82" t="s">
        <v>294</v>
      </c>
      <c r="J162" s="92">
        <v>400</v>
      </c>
      <c r="K162" s="82" t="s">
        <v>293</v>
      </c>
      <c r="L162" s="90">
        <f t="shared" si="17"/>
        <v>14.5</v>
      </c>
      <c r="M162" s="82" t="s">
        <v>294</v>
      </c>
    </row>
    <row r="163" spans="2:21" ht="13.8" thickBot="1" x14ac:dyDescent="0.3">
      <c r="B163" s="79"/>
      <c r="C163" s="80" t="s">
        <v>458</v>
      </c>
      <c r="D163" s="79"/>
      <c r="E163" s="79"/>
      <c r="F163" s="91">
        <v>10</v>
      </c>
      <c r="G163" s="82" t="s">
        <v>293</v>
      </c>
      <c r="H163" s="90">
        <f t="shared" si="16"/>
        <v>14.5</v>
      </c>
      <c r="I163" s="82" t="s">
        <v>294</v>
      </c>
      <c r="J163" s="92"/>
      <c r="K163" s="82" t="s">
        <v>293</v>
      </c>
      <c r="L163" s="90">
        <f t="shared" si="17"/>
        <v>14.5</v>
      </c>
      <c r="M163" s="82" t="s">
        <v>294</v>
      </c>
    </row>
    <row r="164" spans="2:21" ht="13.8" thickBot="1" x14ac:dyDescent="0.3">
      <c r="B164" s="79"/>
      <c r="C164" s="80" t="s">
        <v>306</v>
      </c>
      <c r="D164" s="79"/>
      <c r="E164" s="79"/>
      <c r="F164" s="92"/>
      <c r="G164" s="82" t="s">
        <v>293</v>
      </c>
      <c r="H164" s="90">
        <f t="shared" si="16"/>
        <v>14.5</v>
      </c>
      <c r="I164" s="82" t="s">
        <v>294</v>
      </c>
      <c r="J164" s="92"/>
      <c r="K164" s="82" t="s">
        <v>293</v>
      </c>
      <c r="L164" s="90">
        <f t="shared" si="17"/>
        <v>14.5</v>
      </c>
      <c r="M164" s="82" t="s">
        <v>294</v>
      </c>
    </row>
    <row r="165" spans="2:21" ht="13.8" thickBot="1" x14ac:dyDescent="0.3">
      <c r="B165" s="79"/>
      <c r="C165" s="80" t="s">
        <v>307</v>
      </c>
      <c r="D165" s="79"/>
      <c r="E165" s="79"/>
      <c r="F165" s="92">
        <v>10</v>
      </c>
      <c r="G165" s="82" t="s">
        <v>293</v>
      </c>
      <c r="H165" s="90">
        <f t="shared" si="16"/>
        <v>14.5</v>
      </c>
      <c r="I165" s="82" t="s">
        <v>294</v>
      </c>
      <c r="J165" s="92"/>
      <c r="K165" s="82" t="s">
        <v>293</v>
      </c>
      <c r="L165" s="90">
        <f t="shared" si="17"/>
        <v>14.5</v>
      </c>
      <c r="M165" s="82" t="s">
        <v>294</v>
      </c>
    </row>
    <row r="166" spans="2:21" ht="13.8" thickBot="1" x14ac:dyDescent="0.3">
      <c r="B166" s="79"/>
      <c r="C166" s="80" t="s">
        <v>527</v>
      </c>
      <c r="D166" s="79"/>
      <c r="E166" s="79"/>
      <c r="F166" s="92"/>
      <c r="G166" s="82" t="s">
        <v>293</v>
      </c>
      <c r="H166" s="90">
        <f t="shared" si="16"/>
        <v>14.5</v>
      </c>
      <c r="I166" s="82" t="s">
        <v>294</v>
      </c>
      <c r="J166" s="75"/>
      <c r="K166" s="82" t="s">
        <v>293</v>
      </c>
      <c r="L166" s="90">
        <f t="shared" si="17"/>
        <v>14.5</v>
      </c>
      <c r="M166" s="82" t="s">
        <v>294</v>
      </c>
    </row>
    <row r="167" spans="2:21" ht="13.8" thickBot="1" x14ac:dyDescent="0.3">
      <c r="B167" s="79"/>
      <c r="C167" s="80" t="s">
        <v>527</v>
      </c>
      <c r="D167" s="79"/>
      <c r="E167" s="79"/>
      <c r="F167" s="92"/>
      <c r="G167" s="82" t="s">
        <v>293</v>
      </c>
      <c r="H167" s="90">
        <f t="shared" si="16"/>
        <v>14.5</v>
      </c>
      <c r="I167" s="82" t="s">
        <v>294</v>
      </c>
      <c r="J167" s="75"/>
      <c r="K167" s="82" t="s">
        <v>293</v>
      </c>
      <c r="L167" s="90">
        <f t="shared" si="17"/>
        <v>14.5</v>
      </c>
      <c r="M167" s="82" t="s">
        <v>294</v>
      </c>
    </row>
    <row r="168" spans="2:21" ht="13.8" thickBot="1" x14ac:dyDescent="0.3">
      <c r="B168" s="79"/>
      <c r="C168" s="80" t="s">
        <v>527</v>
      </c>
      <c r="D168" s="81"/>
      <c r="E168" s="81"/>
      <c r="F168" s="75"/>
      <c r="G168" s="82" t="s">
        <v>293</v>
      </c>
      <c r="H168" s="90">
        <f>$H$152</f>
        <v>14.5</v>
      </c>
      <c r="I168" s="82" t="s">
        <v>294</v>
      </c>
      <c r="J168" s="75"/>
      <c r="K168" s="82" t="s">
        <v>293</v>
      </c>
      <c r="L168" s="90">
        <f t="shared" si="17"/>
        <v>14.5</v>
      </c>
      <c r="M168" s="82" t="s">
        <v>294</v>
      </c>
    </row>
    <row r="169" spans="2:21" x14ac:dyDescent="0.25">
      <c r="B169" s="209"/>
      <c r="C169" s="210" t="s">
        <v>54</v>
      </c>
      <c r="D169" s="211"/>
      <c r="E169" s="211"/>
      <c r="F169" s="212">
        <f>SUM(F152:F168)</f>
        <v>87</v>
      </c>
      <c r="G169" s="209" t="s">
        <v>293</v>
      </c>
      <c r="H169" s="213">
        <f>F169*H152</f>
        <v>1261.5</v>
      </c>
      <c r="I169" s="209" t="s">
        <v>57</v>
      </c>
      <c r="J169" s="212">
        <f>SUM(J152:J168)</f>
        <v>400</v>
      </c>
      <c r="K169" s="209" t="s">
        <v>293</v>
      </c>
      <c r="L169" s="213">
        <f>J169*L152</f>
        <v>5800</v>
      </c>
      <c r="M169" s="209" t="s">
        <v>57</v>
      </c>
    </row>
    <row r="171" spans="2:21" ht="40.200000000000003" customHeight="1" x14ac:dyDescent="0.25">
      <c r="N171" s="5"/>
      <c r="O171" s="5"/>
      <c r="P171" s="5"/>
      <c r="Q171" s="5"/>
      <c r="R171" s="5"/>
      <c r="S171" s="5"/>
      <c r="T171" s="5"/>
      <c r="U171" s="5"/>
    </row>
    <row r="174" spans="2:21" ht="37.950000000000003" customHeight="1" x14ac:dyDescent="0.25"/>
    <row r="186" spans="1:21" s="5" customFormat="1" x14ac:dyDescent="0.25">
      <c r="A186" s="575"/>
      <c r="B186"/>
      <c r="C186"/>
      <c r="D186"/>
      <c r="E186"/>
      <c r="F186"/>
      <c r="G186"/>
      <c r="H186"/>
      <c r="I186"/>
      <c r="J186"/>
      <c r="K186"/>
      <c r="L186"/>
      <c r="M186"/>
      <c r="N186"/>
      <c r="O186"/>
      <c r="P186"/>
      <c r="Q186"/>
      <c r="R186"/>
      <c r="S186"/>
      <c r="T186"/>
      <c r="U186"/>
    </row>
    <row r="188" spans="1:21" x14ac:dyDescent="0.25">
      <c r="N188" s="5"/>
      <c r="O188" s="5"/>
      <c r="P188" s="5"/>
      <c r="Q188" s="5"/>
      <c r="R188" s="5"/>
      <c r="S188" s="5"/>
      <c r="T188" s="5"/>
      <c r="U188" s="5"/>
    </row>
  </sheetData>
  <mergeCells count="45">
    <mergeCell ref="B38:D38"/>
    <mergeCell ref="B2:C2"/>
    <mergeCell ref="O9:Q9"/>
    <mergeCell ref="T9:U9"/>
    <mergeCell ref="B11:D11"/>
    <mergeCell ref="O18:Q18"/>
    <mergeCell ref="B26:E26"/>
    <mergeCell ref="B27:E27"/>
    <mergeCell ref="B28:D28"/>
    <mergeCell ref="B31:C31"/>
    <mergeCell ref="C34:D34"/>
    <mergeCell ref="B4:L5"/>
    <mergeCell ref="B57:D57"/>
    <mergeCell ref="B64:D64"/>
    <mergeCell ref="B66:D66"/>
    <mergeCell ref="B69:E69"/>
    <mergeCell ref="C41:D41"/>
    <mergeCell ref="B45:D45"/>
    <mergeCell ref="C48:D48"/>
    <mergeCell ref="B52:C52"/>
    <mergeCell ref="C55:D55"/>
    <mergeCell ref="L69:M69"/>
    <mergeCell ref="F76:G76"/>
    <mergeCell ref="H76:I76"/>
    <mergeCell ref="J76:K76"/>
    <mergeCell ref="F85:G85"/>
    <mergeCell ref="H85:I85"/>
    <mergeCell ref="J85:K85"/>
    <mergeCell ref="F71:G71"/>
    <mergeCell ref="H71:I71"/>
    <mergeCell ref="J71:K71"/>
    <mergeCell ref="F105:G105"/>
    <mergeCell ref="H105:I105"/>
    <mergeCell ref="J105:K105"/>
    <mergeCell ref="F118:G118"/>
    <mergeCell ref="H118:I118"/>
    <mergeCell ref="J118:K118"/>
    <mergeCell ref="L150:M150"/>
    <mergeCell ref="B148:M149"/>
    <mergeCell ref="F126:G126"/>
    <mergeCell ref="H126:I126"/>
    <mergeCell ref="J126:K126"/>
    <mergeCell ref="E150:G150"/>
    <mergeCell ref="H150:I150"/>
    <mergeCell ref="J150:K150"/>
  </mergeCells>
  <hyperlinks>
    <hyperlink ref="B2" location="Tilakokonaisuus!A1" display="PALAA ETUSIVULLE" xr:uid="{6ED6232C-1E16-7544-B715-342165E43CD4}"/>
    <hyperlink ref="B2:C2" location="'Gårdens info'!A1" display="TILL FRAMSIDAN" xr:uid="{4E8889D6-0839-3542-B7A6-FF707C4F64A8}"/>
    <hyperlink ref="B26:E26" location="'Gårdens info'!C97" display="ALMÄNNA KOSTNADER, ärtens andel" xr:uid="{30187086-8FBF-ED4D-98A6-A1668CB9418D}"/>
    <hyperlink ref="B31:C31" location="Omaisuus!B15" display="RAKENNUKSET" xr:uid="{2002CFE6-CBDF-894E-AB92-EBC5B7D7D4CC}"/>
    <hyperlink ref="B38:D38" location="Omaisuus!B28" display="KONEET JA KALUSTO" xr:uid="{1215EFE1-5D10-A74C-B92E-FF6593436258}"/>
    <hyperlink ref="B45:D45" location="Omaisuus!B51" display="PIDEMPIAIKAISET TUOTANTOVÄLINEET" xr:uid="{A4EAE3B2-D1F4-BC41-B7C0-33AB90E07C9C}"/>
    <hyperlink ref="B52:C52" location="Omaisuus!B70" display="SALAOJAT" xr:uid="{2C26B1A9-3C7A-0048-9F29-825B53769972}"/>
    <hyperlink ref="L69" location="'Avomaan mansikka'!B2" display="PALAA SIVUN YLÄLAITAAN" xr:uid="{44394968-99ED-3A4A-94FA-75DC5605164A}"/>
    <hyperlink ref="L69:M69" location="Trädgårdsärt!A1" display="TILL SIDANS BÖRJAN" xr:uid="{66F084A2-31CF-EF4B-8C72-A38E3DC926B7}"/>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9D16E-4A5A-7C48-8EBF-70D5F6CEFD05}">
  <sheetPr>
    <tabColor theme="6" tint="0.79998168889431442"/>
  </sheetPr>
  <dimension ref="A1:AC192"/>
  <sheetViews>
    <sheetView topLeftCell="B1" zoomScale="85" zoomScaleNormal="85" workbookViewId="0">
      <selection activeCell="B4" sqref="B4:M5"/>
    </sheetView>
  </sheetViews>
  <sheetFormatPr defaultColWidth="11.44140625" defaultRowHeight="13.2" x14ac:dyDescent="0.25"/>
  <cols>
    <col min="1" max="1" width="5.33203125" style="617"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7.6640625" customWidth="1"/>
    <col min="16" max="16" width="4.44140625" customWidth="1"/>
    <col min="17" max="17" width="15" customWidth="1"/>
    <col min="18" max="18" width="5.109375" customWidth="1"/>
    <col min="19" max="19" width="18.33203125" bestFit="1" customWidth="1"/>
  </cols>
  <sheetData>
    <row r="1" spans="1:21" s="617" customFormat="1" ht="22.8" x14ac:dyDescent="0.4">
      <c r="B1" s="631" t="s">
        <v>16</v>
      </c>
    </row>
    <row r="2" spans="1:21" ht="27" customHeight="1" x14ac:dyDescent="0.3">
      <c r="B2" s="1094" t="s">
        <v>201</v>
      </c>
      <c r="C2" s="1094"/>
      <c r="F2" s="69"/>
      <c r="G2" s="69"/>
      <c r="H2" s="69"/>
    </row>
    <row r="3" spans="1:21" ht="27" customHeight="1" x14ac:dyDescent="0.3">
      <c r="B3" s="189"/>
      <c r="C3" s="189"/>
    </row>
    <row r="4" spans="1:21" ht="17.399999999999999" customHeight="1" x14ac:dyDescent="0.25">
      <c r="B4" s="1115" t="s">
        <v>375</v>
      </c>
      <c r="C4" s="1115"/>
      <c r="D4" s="1115"/>
      <c r="E4" s="1115"/>
      <c r="F4" s="1115"/>
      <c r="G4" s="1115"/>
      <c r="H4" s="1115"/>
      <c r="I4" s="1115"/>
      <c r="J4" s="1115"/>
      <c r="K4" s="1115"/>
      <c r="L4" s="1115"/>
      <c r="M4" s="1115"/>
    </row>
    <row r="5" spans="1:21" ht="27" customHeight="1" thickBot="1" x14ac:dyDescent="0.3">
      <c r="B5" s="1116"/>
      <c r="C5" s="1116"/>
      <c r="D5" s="1116"/>
      <c r="E5" s="1116"/>
      <c r="F5" s="1116"/>
      <c r="G5" s="1116"/>
      <c r="H5" s="1116"/>
      <c r="I5" s="1116"/>
      <c r="J5" s="1116"/>
      <c r="K5" s="1116"/>
      <c r="L5" s="1116"/>
      <c r="M5" s="1116"/>
    </row>
    <row r="6" spans="1:21" ht="27" customHeight="1" x14ac:dyDescent="0.4">
      <c r="B6" s="256" t="s">
        <v>528</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IF('Gårdens info'!D17&gt;0,H9*'Gårdens info'!G17,0)</f>
        <v>0</v>
      </c>
      <c r="G9" s="119" t="s">
        <v>57</v>
      </c>
      <c r="H9" s="508">
        <f>IF('Gårdens info'!G17&gt;0,(('Gårdens info'!D17*'Gårdens info'!G17*S10*T10)+('Gårdens info'!D17*'Gårdens info'!G17*S11*T11)+('Gårdens info'!D17*'Gårdens info'!G17*S12*T12)+('Gårdens info'!D17*'Gårdens info'!G17*S13*T13)+('Gårdens info'!D17*'Gårdens info'!G17*S14*T14)+('Gårdens info'!D17*'Gårdens info'!G17*S15*T15)+('Gårdens info'!D17*'Gårdens info'!G17*S16*T16)+('Gårdens info'!D17*'Gårdens info'!G17*S17*T17))/(('Gårdens info'!D17*'Gårdens info'!G17)),0)</f>
        <v>0</v>
      </c>
      <c r="I9" s="119" t="s">
        <v>206</v>
      </c>
      <c r="J9" s="229">
        <f>F9*'Gårdens info'!D12</f>
        <v>0</v>
      </c>
      <c r="K9" s="119" t="s">
        <v>529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info'!D17&gt;0,Stöd!L15,0)</f>
        <v>0</v>
      </c>
      <c r="G10" s="119" t="s">
        <v>57</v>
      </c>
      <c r="H10" s="508">
        <f>IF('Gårdens info'!G17&gt;0,F10/'Gårdens info'!G17,0)</f>
        <v>0</v>
      </c>
      <c r="I10" s="119" t="s">
        <v>206</v>
      </c>
      <c r="J10" s="229">
        <f>F10*'Gårdens info'!D12</f>
        <v>0</v>
      </c>
      <c r="K10" s="119" t="s">
        <v>529</v>
      </c>
      <c r="L10" s="119"/>
      <c r="M10" s="226"/>
      <c r="N10" s="369"/>
      <c r="O10" s="119">
        <v>1</v>
      </c>
      <c r="P10" s="119" t="s">
        <v>212</v>
      </c>
      <c r="Q10" s="119" t="s">
        <v>213</v>
      </c>
      <c r="R10" s="119"/>
      <c r="S10" s="377">
        <v>0.4</v>
      </c>
      <c r="T10" s="255">
        <v>0.9</v>
      </c>
      <c r="U10" s="239" t="s">
        <v>206</v>
      </c>
    </row>
    <row r="11" spans="1:21" s="5" customFormat="1" ht="21.6" thickBot="1" x14ac:dyDescent="0.45">
      <c r="A11" s="624"/>
      <c r="B11" s="1061" t="s">
        <v>214</v>
      </c>
      <c r="C11" s="1043"/>
      <c r="D11" s="1043"/>
      <c r="E11" s="262"/>
      <c r="F11" s="266">
        <f>F9+F10</f>
        <v>0</v>
      </c>
      <c r="G11" s="267" t="s">
        <v>57</v>
      </c>
      <c r="H11" s="507">
        <f>H9+H10</f>
        <v>0</v>
      </c>
      <c r="I11" s="267" t="s">
        <v>206</v>
      </c>
      <c r="J11" s="269">
        <f>J9+J10</f>
        <v>0</v>
      </c>
      <c r="K11" s="267" t="s">
        <v>529</v>
      </c>
      <c r="L11" s="267"/>
      <c r="M11" s="259"/>
      <c r="N11" s="370"/>
      <c r="O11" s="119">
        <v>0.25</v>
      </c>
      <c r="P11" s="119" t="s">
        <v>212</v>
      </c>
      <c r="Q11" s="119" t="s">
        <v>333</v>
      </c>
      <c r="R11" s="119"/>
      <c r="S11" s="379">
        <v>0</v>
      </c>
      <c r="T11" s="255"/>
      <c r="U11" s="239" t="s">
        <v>206</v>
      </c>
    </row>
    <row r="12" spans="1:21" s="5" customFormat="1" ht="21.6" thickBot="1" x14ac:dyDescent="0.45">
      <c r="A12" s="624"/>
      <c r="B12" s="288"/>
      <c r="C12" s="270"/>
      <c r="D12" s="270"/>
      <c r="E12" s="262"/>
      <c r="F12" s="266"/>
      <c r="G12" s="267"/>
      <c r="H12" s="268"/>
      <c r="I12" s="267"/>
      <c r="J12" s="269"/>
      <c r="K12" s="267"/>
      <c r="L12" s="267"/>
      <c r="M12" s="259"/>
      <c r="N12" s="370"/>
      <c r="O12" s="119">
        <v>0.5</v>
      </c>
      <c r="P12" s="119" t="s">
        <v>212</v>
      </c>
      <c r="Q12" s="119" t="s">
        <v>213</v>
      </c>
      <c r="R12" s="119"/>
      <c r="S12" s="379">
        <v>0.4</v>
      </c>
      <c r="T12" s="255">
        <v>0.92</v>
      </c>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0.2</v>
      </c>
      <c r="T13" s="255">
        <v>0.88</v>
      </c>
      <c r="U13" s="239" t="s">
        <v>206</v>
      </c>
    </row>
    <row r="14" spans="1:21" ht="21.6" thickBot="1" x14ac:dyDescent="0.45">
      <c r="B14" s="257" t="s">
        <v>186</v>
      </c>
      <c r="C14" s="225"/>
      <c r="D14" s="116"/>
      <c r="E14" s="116"/>
      <c r="F14" s="116"/>
      <c r="G14" s="116"/>
      <c r="H14" s="116"/>
      <c r="I14" s="116"/>
      <c r="J14" s="232"/>
      <c r="K14" s="116"/>
      <c r="L14" s="116"/>
      <c r="M14" s="226"/>
      <c r="N14" s="369"/>
      <c r="O14" s="651">
        <f>D114</f>
        <v>0</v>
      </c>
      <c r="P14" s="119" t="s">
        <v>212</v>
      </c>
      <c r="Q14" s="298" t="s">
        <v>511</v>
      </c>
      <c r="R14" s="119"/>
      <c r="S14" s="379">
        <v>0</v>
      </c>
      <c r="T14" s="255"/>
      <c r="U14" s="239" t="s">
        <v>206</v>
      </c>
    </row>
    <row r="15" spans="1:21" s="56" customFormat="1" ht="16.95" customHeight="1" thickBot="1" x14ac:dyDescent="0.35">
      <c r="A15" s="625"/>
      <c r="B15" s="493"/>
      <c r="C15" s="245"/>
      <c r="D15" s="249"/>
      <c r="E15" s="249"/>
      <c r="F15" s="250"/>
      <c r="G15" s="120"/>
      <c r="H15" s="249"/>
      <c r="I15" s="249"/>
      <c r="J15" s="249"/>
      <c r="K15" s="249"/>
      <c r="L15" s="249"/>
      <c r="M15" s="234"/>
      <c r="N15" s="369"/>
      <c r="O15" s="651">
        <f t="shared" ref="O15:O17" si="0">D115</f>
        <v>0</v>
      </c>
      <c r="P15" s="119" t="s">
        <v>212</v>
      </c>
      <c r="Q15" s="298" t="s">
        <v>511</v>
      </c>
      <c r="R15" s="119"/>
      <c r="S15" s="379">
        <v>0</v>
      </c>
      <c r="T15" s="255"/>
      <c r="U15" s="239" t="s">
        <v>206</v>
      </c>
    </row>
    <row r="16" spans="1:21" s="69" customFormat="1" ht="16.95" customHeight="1" thickBot="1" x14ac:dyDescent="0.3">
      <c r="A16" s="625"/>
      <c r="B16" s="493"/>
      <c r="C16" s="228" t="s">
        <v>218</v>
      </c>
      <c r="D16" s="236"/>
      <c r="E16" s="236"/>
      <c r="F16" s="247">
        <f>IF('Gårdens info'!D17&gt;0,J73,0)</f>
        <v>0</v>
      </c>
      <c r="G16" s="119" t="s">
        <v>57</v>
      </c>
      <c r="H16" s="503">
        <f>IF('Gårdens info'!$G$17&gt;0,F16/'Gårdens info'!$G$17,0)</f>
        <v>0</v>
      </c>
      <c r="I16" s="119" t="s">
        <v>206</v>
      </c>
      <c r="J16" s="237">
        <f>F16*'Gårdens info'!$D$17</f>
        <v>0</v>
      </c>
      <c r="K16" s="119" t="s">
        <v>529</v>
      </c>
      <c r="L16" s="236"/>
      <c r="M16" s="239"/>
      <c r="N16" s="227"/>
      <c r="O16" s="651">
        <f t="shared" si="0"/>
        <v>0</v>
      </c>
      <c r="P16" s="119" t="s">
        <v>212</v>
      </c>
      <c r="Q16" s="298" t="s">
        <v>511</v>
      </c>
      <c r="R16" s="119"/>
      <c r="S16" s="379">
        <v>0</v>
      </c>
      <c r="T16" s="255"/>
      <c r="U16" s="239" t="s">
        <v>206</v>
      </c>
    </row>
    <row r="17" spans="1:29" s="69" customFormat="1" ht="15.6" thickBot="1" x14ac:dyDescent="0.3">
      <c r="A17" s="625"/>
      <c r="B17" s="235"/>
      <c r="C17" s="228" t="s">
        <v>219</v>
      </c>
      <c r="D17" s="236"/>
      <c r="E17" s="236"/>
      <c r="F17" s="237">
        <f>IF('Gårdens info'!D17&gt;0,J84,0)</f>
        <v>0</v>
      </c>
      <c r="G17" s="119" t="s">
        <v>57</v>
      </c>
      <c r="H17" s="503">
        <f>IF('Gårdens info'!$G$17&gt;0,F17/'Gårdens info'!$G$17,0)</f>
        <v>0</v>
      </c>
      <c r="I17" s="119" t="s">
        <v>206</v>
      </c>
      <c r="J17" s="237">
        <f>F17*'Gårdens info'!$D$17</f>
        <v>0</v>
      </c>
      <c r="K17" s="119" t="s">
        <v>529</v>
      </c>
      <c r="L17" s="236"/>
      <c r="M17" s="239"/>
      <c r="N17" s="369"/>
      <c r="O17" s="651">
        <f t="shared" si="0"/>
        <v>0</v>
      </c>
      <c r="P17" s="119" t="s">
        <v>212</v>
      </c>
      <c r="Q17" s="298" t="s">
        <v>511</v>
      </c>
      <c r="R17" s="119"/>
      <c r="S17" s="378">
        <v>0</v>
      </c>
      <c r="T17" s="255"/>
      <c r="U17" s="239" t="s">
        <v>206</v>
      </c>
    </row>
    <row r="18" spans="1:29" s="69" customFormat="1" ht="17.399999999999999" x14ac:dyDescent="0.3">
      <c r="A18" s="625"/>
      <c r="B18" s="235"/>
      <c r="C18" s="228" t="s">
        <v>220</v>
      </c>
      <c r="D18" s="236"/>
      <c r="E18" s="236"/>
      <c r="F18" s="237">
        <f>IF('Gårdens info'!D17&gt;0,J105,0)</f>
        <v>0</v>
      </c>
      <c r="G18" s="119" t="s">
        <v>57</v>
      </c>
      <c r="H18" s="503">
        <f>IF('Gårdens info'!$G$17&gt;0,F18/'Gårdens info'!$G$17,0)</f>
        <v>0</v>
      </c>
      <c r="I18" s="119" t="s">
        <v>206</v>
      </c>
      <c r="J18" s="237">
        <f>F18*'Gårdens info'!$D$17</f>
        <v>0</v>
      </c>
      <c r="K18" s="119" t="s">
        <v>529</v>
      </c>
      <c r="L18" s="236"/>
      <c r="M18" s="239"/>
      <c r="N18" s="371"/>
      <c r="O18" s="1088" t="s">
        <v>54</v>
      </c>
      <c r="P18" s="1088"/>
      <c r="Q18" s="1088"/>
      <c r="R18" s="120"/>
      <c r="S18" s="375">
        <f>SUM(S10:S17)</f>
        <v>1</v>
      </c>
      <c r="T18" s="120"/>
      <c r="U18" s="234"/>
    </row>
    <row r="19" spans="1:29" s="69" customFormat="1" ht="15.6" x14ac:dyDescent="0.3">
      <c r="A19" s="625"/>
      <c r="B19" s="235"/>
      <c r="C19" s="228" t="s">
        <v>221</v>
      </c>
      <c r="D19" s="236"/>
      <c r="E19" s="236"/>
      <c r="F19" s="237">
        <f>IF('Gårdens info'!D17&gt;0,J118,0)</f>
        <v>0</v>
      </c>
      <c r="G19" s="119" t="s">
        <v>57</v>
      </c>
      <c r="H19" s="503">
        <f>IF('Gårdens info'!$G$17&gt;0,F19/'Gårdens info'!$G$17,0)</f>
        <v>0</v>
      </c>
      <c r="I19" s="119" t="s">
        <v>206</v>
      </c>
      <c r="J19" s="237">
        <f>F19*'Gårdens info'!$D$17</f>
        <v>0</v>
      </c>
      <c r="K19" s="119" t="s">
        <v>529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625"/>
      <c r="B20" s="235"/>
      <c r="C20" s="228" t="s">
        <v>222</v>
      </c>
      <c r="D20" s="236"/>
      <c r="E20" s="236"/>
      <c r="F20" s="237">
        <f>IF('Gårdens info'!D17&gt;0,122,0)</f>
        <v>0</v>
      </c>
      <c r="G20" s="119" t="s">
        <v>57</v>
      </c>
      <c r="H20" s="503">
        <f>IF('Gårdens info'!$G$17&gt;0,F20/'Gårdens info'!$G$17,0)</f>
        <v>0</v>
      </c>
      <c r="I20" s="119" t="s">
        <v>206</v>
      </c>
      <c r="J20" s="237">
        <f>F20*'Gårdens info'!$D$17</f>
        <v>0</v>
      </c>
      <c r="K20" s="119" t="s">
        <v>529</v>
      </c>
      <c r="L20" s="236"/>
      <c r="M20" s="239"/>
      <c r="N20" s="372"/>
      <c r="O20" s="373"/>
      <c r="P20" s="373"/>
      <c r="Q20" s="373"/>
      <c r="R20" s="373"/>
      <c r="S20" s="373"/>
      <c r="T20" s="373"/>
      <c r="U20" s="374"/>
    </row>
    <row r="21" spans="1:29" s="69" customFormat="1" ht="15" x14ac:dyDescent="0.25">
      <c r="A21" s="625"/>
      <c r="B21" s="235"/>
      <c r="C21" s="228" t="s">
        <v>223</v>
      </c>
      <c r="D21" s="236"/>
      <c r="E21" s="236"/>
      <c r="F21" s="237">
        <f>IF('Gårdens info'!D17&gt;0,J134,0)</f>
        <v>0</v>
      </c>
      <c r="G21" s="119" t="s">
        <v>57</v>
      </c>
      <c r="H21" s="503">
        <f>IF('Gårdens info'!$G$17&gt;0,F21/'Gårdens info'!$G$17,0)</f>
        <v>0</v>
      </c>
      <c r="I21" s="119" t="s">
        <v>206</v>
      </c>
      <c r="J21" s="237">
        <f>F21*'Gårdens info'!$D$17</f>
        <v>0</v>
      </c>
      <c r="K21" s="119" t="s">
        <v>529</v>
      </c>
      <c r="L21" s="236"/>
      <c r="M21" s="239"/>
    </row>
    <row r="22" spans="1:29" s="69" customFormat="1" ht="15" x14ac:dyDescent="0.25">
      <c r="A22" s="625"/>
      <c r="B22" s="235"/>
      <c r="C22" s="228" t="s">
        <v>224</v>
      </c>
      <c r="D22" s="236"/>
      <c r="E22" s="236"/>
      <c r="F22" s="237">
        <f>IF('Gårdens info'!D17&gt;0,J146,0)</f>
        <v>0</v>
      </c>
      <c r="G22" s="119" t="s">
        <v>57</v>
      </c>
      <c r="H22" s="503">
        <f>IF('Gårdens info'!$G$17&gt;0,F22/'Gårdens info'!$G$17,0)</f>
        <v>0</v>
      </c>
      <c r="I22" s="119" t="s">
        <v>206</v>
      </c>
      <c r="J22" s="237">
        <f>F22*'Gårdens info'!$D$17</f>
        <v>0</v>
      </c>
      <c r="K22" s="119" t="s">
        <v>529</v>
      </c>
      <c r="L22" s="236"/>
      <c r="M22" s="239"/>
    </row>
    <row r="23" spans="1:29" s="69" customFormat="1" ht="15" x14ac:dyDescent="0.25">
      <c r="A23" s="625"/>
      <c r="B23" s="235"/>
      <c r="C23" s="228" t="s">
        <v>225</v>
      </c>
      <c r="D23" s="236"/>
      <c r="E23" s="236"/>
      <c r="F23" s="237">
        <f>IF('Gårdens info'!D17&gt;0,L173,0)</f>
        <v>0</v>
      </c>
      <c r="G23" s="119" t="s">
        <v>57</v>
      </c>
      <c r="H23" s="503">
        <f>IF('Gårdens info'!$G$17&gt;0,F23/'Gårdens info'!$G$17,0)</f>
        <v>0</v>
      </c>
      <c r="I23" s="119" t="s">
        <v>206</v>
      </c>
      <c r="J23" s="237">
        <f>F23*'Gårdens info'!$D$17</f>
        <v>0</v>
      </c>
      <c r="K23" s="119" t="s">
        <v>529</v>
      </c>
      <c r="L23" s="236"/>
      <c r="M23" s="239"/>
    </row>
    <row r="24" spans="1:29" ht="15.6" x14ac:dyDescent="0.3">
      <c r="B24" s="251"/>
      <c r="C24" s="240" t="s">
        <v>54</v>
      </c>
      <c r="D24" s="241"/>
      <c r="E24" s="241"/>
      <c r="F24" s="242">
        <f>SUM(F16:F23)</f>
        <v>0</v>
      </c>
      <c r="G24" s="243" t="s">
        <v>57</v>
      </c>
      <c r="H24" s="504">
        <f>SUM(H16:H23)</f>
        <v>0</v>
      </c>
      <c r="I24" s="243" t="s">
        <v>206</v>
      </c>
      <c r="J24" s="242">
        <f>SUM(J16:J23)</f>
        <v>0</v>
      </c>
      <c r="K24" s="243" t="s">
        <v>529</v>
      </c>
      <c r="L24" s="241"/>
      <c r="M24" s="252"/>
      <c r="N24" s="69"/>
      <c r="O24" s="69"/>
      <c r="P24" s="69"/>
      <c r="Q24" s="69"/>
      <c r="R24" s="69"/>
      <c r="S24" s="69"/>
      <c r="T24" s="69"/>
      <c r="U24" s="69"/>
    </row>
    <row r="25" spans="1:29" s="56" customFormat="1" ht="17.399999999999999" x14ac:dyDescent="0.3">
      <c r="A25" s="626"/>
      <c r="B25" s="231"/>
      <c r="C25" s="245"/>
      <c r="D25" s="246"/>
      <c r="E25" s="246"/>
      <c r="F25" s="247"/>
      <c r="G25" s="119"/>
      <c r="H25" s="505"/>
      <c r="I25" s="246"/>
      <c r="J25" s="246"/>
      <c r="K25" s="246"/>
      <c r="L25" s="246"/>
      <c r="M25" s="226"/>
      <c r="N25" s="69"/>
      <c r="O25" s="69"/>
      <c r="P25" s="69"/>
      <c r="R25" s="69"/>
      <c r="S25" s="69"/>
      <c r="T25" s="69"/>
      <c r="U25" s="69"/>
      <c r="AB25" s="449" t="s">
        <v>512</v>
      </c>
      <c r="AC25" s="561">
        <f>F16</f>
        <v>0</v>
      </c>
    </row>
    <row r="26" spans="1:29" s="69" customFormat="1" ht="17.399999999999999" x14ac:dyDescent="0.3">
      <c r="A26" s="625"/>
      <c r="B26" s="1089" t="s">
        <v>530</v>
      </c>
      <c r="C26" s="1090"/>
      <c r="D26" s="1090"/>
      <c r="E26" s="1090"/>
      <c r="F26" s="263">
        <f>IF('Gårdens info'!D17&gt;0,J26/'Gårdens info'!D17,0)</f>
        <v>0</v>
      </c>
      <c r="G26" s="243" t="s">
        <v>57</v>
      </c>
      <c r="H26" s="506">
        <f>IF('Gårdens info'!G17&gt;0,F26/'Gårdens info'!G17,0)</f>
        <v>0</v>
      </c>
      <c r="I26" s="243" t="s">
        <v>206</v>
      </c>
      <c r="J26" s="258">
        <f>'Gårdens info'!G163/'Gårdens info'!D43*'Gårdens info'!D17</f>
        <v>0</v>
      </c>
      <c r="K26" s="243" t="s">
        <v>529</v>
      </c>
      <c r="L26" s="265"/>
      <c r="M26" s="259"/>
      <c r="N26"/>
      <c r="O26"/>
      <c r="P26"/>
      <c r="S26"/>
      <c r="T26"/>
      <c r="U26"/>
      <c r="AB26" s="382" t="str">
        <f t="shared" ref="AB26:AB32" si="1">C17</f>
        <v>Gödsel och kalk</v>
      </c>
      <c r="AC26" s="561">
        <f t="shared" ref="AC26:AC32" si="2">F17</f>
        <v>0</v>
      </c>
    </row>
    <row r="27" spans="1:29" s="69" customFormat="1" ht="17.399999999999999" x14ac:dyDescent="0.3">
      <c r="A27" s="625"/>
      <c r="B27" s="1091" t="s">
        <v>531</v>
      </c>
      <c r="C27" s="1092"/>
      <c r="D27" s="1092"/>
      <c r="E27" s="1092"/>
      <c r="F27" s="263">
        <f>IF('Gårdens info'!D17&gt;0,J27/'Gårdens info'!D17,0)</f>
        <v>0</v>
      </c>
      <c r="G27" s="243" t="s">
        <v>57</v>
      </c>
      <c r="H27" s="506">
        <f>IF('Gårdens info'!G17&gt;0,F27/'Gårdens info'!G17,0)</f>
        <v>0</v>
      </c>
      <c r="I27" s="243" t="s">
        <v>206</v>
      </c>
      <c r="J27" s="258">
        <f>'Gårdens info'!$D$48/'Gårdens info'!$D$49*'Gårdens info'!$G$48*'Gårdens info'!D17</f>
        <v>0</v>
      </c>
      <c r="K27" s="243" t="s">
        <v>529</v>
      </c>
      <c r="L27" s="265"/>
      <c r="M27" s="259"/>
      <c r="N27" s="56"/>
      <c r="O27" s="56"/>
      <c r="P27" s="56"/>
      <c r="S27" s="56"/>
      <c r="T27" s="56"/>
      <c r="U27" s="56"/>
      <c r="AB27" s="382" t="str">
        <f t="shared" si="1"/>
        <v>IPM Växtskydd</v>
      </c>
      <c r="AC27" s="561">
        <f t="shared" si="2"/>
        <v>0</v>
      </c>
    </row>
    <row r="28" spans="1:29" s="69" customFormat="1" ht="21" customHeight="1" x14ac:dyDescent="0.4">
      <c r="A28" s="625"/>
      <c r="B28" s="1061" t="s">
        <v>189</v>
      </c>
      <c r="C28" s="1043"/>
      <c r="D28" s="1043"/>
      <c r="E28" s="262"/>
      <c r="F28" s="266">
        <f>F24+F26+F27</f>
        <v>0</v>
      </c>
      <c r="G28" s="267" t="s">
        <v>57</v>
      </c>
      <c r="H28" s="507">
        <f>H24+H26+H27</f>
        <v>0</v>
      </c>
      <c r="I28" s="267" t="s">
        <v>206</v>
      </c>
      <c r="J28" s="269">
        <f>J24+J26+J27</f>
        <v>0</v>
      </c>
      <c r="K28" s="267" t="s">
        <v>529</v>
      </c>
      <c r="L28" s="267"/>
      <c r="M28" s="259"/>
      <c r="AB28" s="382" t="str">
        <f t="shared" si="1"/>
        <v>Packningsmaterial</v>
      </c>
      <c r="AC28" s="561">
        <f t="shared" si="2"/>
        <v>0</v>
      </c>
    </row>
    <row r="29" spans="1:29" s="69" customFormat="1" ht="21" x14ac:dyDescent="0.4">
      <c r="A29" s="625"/>
      <c r="B29" s="288"/>
      <c r="C29" s="270"/>
      <c r="D29" s="270"/>
      <c r="E29" s="262"/>
      <c r="F29" s="266"/>
      <c r="G29" s="267"/>
      <c r="H29" s="268"/>
      <c r="I29" s="267"/>
      <c r="J29" s="269"/>
      <c r="K29" s="267"/>
      <c r="L29" s="267"/>
      <c r="M29" s="259"/>
      <c r="AB29" s="382" t="str">
        <f t="shared" si="1"/>
        <v>Fraktkostnader</v>
      </c>
      <c r="AC29" s="561">
        <f t="shared" si="2"/>
        <v>0</v>
      </c>
    </row>
    <row r="30" spans="1:29" s="69" customFormat="1" ht="21" x14ac:dyDescent="0.4">
      <c r="A30" s="625"/>
      <c r="B30" s="257" t="s">
        <v>532</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625"/>
      <c r="B31" s="1081" t="s">
        <v>69</v>
      </c>
      <c r="C31" s="1082"/>
      <c r="D31" s="270"/>
      <c r="E31" s="262"/>
      <c r="F31" s="266"/>
      <c r="G31" s="267"/>
      <c r="H31" s="268"/>
      <c r="I31" s="267"/>
      <c r="J31" s="269"/>
      <c r="K31" s="267"/>
      <c r="L31" s="267"/>
      <c r="M31" s="259"/>
      <c r="AB31" s="382" t="str">
        <f t="shared" si="1"/>
        <v>Energikostnader</v>
      </c>
      <c r="AC31" s="561">
        <f t="shared" si="2"/>
        <v>0</v>
      </c>
    </row>
    <row r="32" spans="1:29" s="69" customFormat="1" ht="21" x14ac:dyDescent="0.4">
      <c r="A32" s="625"/>
      <c r="B32" s="287"/>
      <c r="C32" s="941" t="s">
        <v>229</v>
      </c>
      <c r="D32" s="942"/>
      <c r="E32" s="262"/>
      <c r="F32" s="276">
        <f>IF('Gårdens info'!$D$17&gt;0,J32/'Gårdens info'!$D$17,0)</f>
        <v>0</v>
      </c>
      <c r="G32" s="119" t="s">
        <v>57</v>
      </c>
      <c r="H32" s="502">
        <f>IF('Gårdens info'!$G$17&gt;0,F32/'Gårdens info'!$G$17,0)</f>
        <v>0</v>
      </c>
      <c r="I32" s="119" t="s">
        <v>206</v>
      </c>
      <c r="J32" s="237">
        <f>Egendom!AQ25</f>
        <v>0</v>
      </c>
      <c r="K32" s="119" t="s">
        <v>529</v>
      </c>
      <c r="L32" s="267"/>
      <c r="M32" s="259"/>
      <c r="AB32" s="382" t="str">
        <f t="shared" si="1"/>
        <v>Anställd arbetskraft</v>
      </c>
      <c r="AC32" s="561">
        <f t="shared" si="2"/>
        <v>0</v>
      </c>
    </row>
    <row r="33" spans="1:29" s="192" customFormat="1" ht="21" x14ac:dyDescent="0.4">
      <c r="A33" s="627"/>
      <c r="B33" s="287"/>
      <c r="C33" s="941" t="s">
        <v>230</v>
      </c>
      <c r="D33" s="942"/>
      <c r="E33" s="262"/>
      <c r="F33" s="276">
        <f>IF('Gårdens info'!$D$17&gt;0,J33/'Gårdens info'!$D$17,0)</f>
        <v>0</v>
      </c>
      <c r="G33" s="119" t="s">
        <v>57</v>
      </c>
      <c r="H33" s="502">
        <f>IF('Gårdens info'!$G$17&gt;0,F33/'Gårdens info'!$G$17,0)</f>
        <v>0</v>
      </c>
      <c r="I33" s="119" t="s">
        <v>206</v>
      </c>
      <c r="J33" s="237">
        <f>Egendom!BO25</f>
        <v>0</v>
      </c>
      <c r="K33" s="119" t="s">
        <v>529</v>
      </c>
      <c r="L33" s="267"/>
      <c r="M33" s="259"/>
      <c r="N33" s="69"/>
      <c r="O33" s="69"/>
      <c r="P33" s="69"/>
      <c r="S33" s="69"/>
      <c r="T33" s="69"/>
      <c r="U33" s="69"/>
      <c r="AB33" s="384" t="s">
        <v>464</v>
      </c>
      <c r="AC33" s="384">
        <f>F26</f>
        <v>0</v>
      </c>
    </row>
    <row r="34" spans="1:29" ht="17.399999999999999" customHeight="1" x14ac:dyDescent="0.3">
      <c r="B34" s="287"/>
      <c r="C34" s="1108" t="s">
        <v>232</v>
      </c>
      <c r="D34" s="1108"/>
      <c r="E34" s="262"/>
      <c r="F34" s="276">
        <f>IF('Gårdens info'!$D$17&gt;0,J34/'Gårdens info'!$D$17,0)</f>
        <v>0</v>
      </c>
      <c r="G34" s="119" t="s">
        <v>57</v>
      </c>
      <c r="H34" s="502">
        <f>IF('Gårdens info'!$G$17&gt;0,F34/'Gårdens info'!$G$17,0)</f>
        <v>0</v>
      </c>
      <c r="I34" s="119" t="s">
        <v>206</v>
      </c>
      <c r="J34" s="237">
        <f>Egendom!CM25</f>
        <v>0</v>
      </c>
      <c r="K34" s="119" t="s">
        <v>529</v>
      </c>
      <c r="L34" s="267"/>
      <c r="M34" s="259"/>
      <c r="N34" s="69"/>
      <c r="O34" s="69"/>
      <c r="P34" s="69"/>
      <c r="S34" s="69"/>
      <c r="T34" s="69"/>
      <c r="U34" s="69"/>
      <c r="AB34" s="382" t="s">
        <v>482</v>
      </c>
      <c r="AC34" s="384">
        <f>F27</f>
        <v>0</v>
      </c>
    </row>
    <row r="35" spans="1:29" ht="21" x14ac:dyDescent="0.4">
      <c r="B35" s="287"/>
      <c r="C35" s="941" t="s">
        <v>483</v>
      </c>
      <c r="D35" s="942"/>
      <c r="E35" s="262"/>
      <c r="F35" s="276">
        <f>IF('Gårdens info'!$D$17&gt;0,J35/'Gårdens info'!$D$17,0)</f>
        <v>0</v>
      </c>
      <c r="G35" s="119" t="s">
        <v>57</v>
      </c>
      <c r="H35" s="502">
        <f>IF('Gårdens info'!$G$17&gt;0,F35/'Gårdens info'!$G$17,0)</f>
        <v>0</v>
      </c>
      <c r="I35" s="119" t="s">
        <v>206</v>
      </c>
      <c r="J35" s="237">
        <f>Egendom!DK25</f>
        <v>0</v>
      </c>
      <c r="K35" s="119" t="s">
        <v>529</v>
      </c>
      <c r="L35" s="267"/>
      <c r="M35" s="259"/>
      <c r="N35" s="192"/>
      <c r="O35" s="192"/>
      <c r="P35" s="192"/>
      <c r="S35" s="192"/>
      <c r="T35" s="192"/>
      <c r="U35" s="192"/>
      <c r="AB35" s="382" t="s">
        <v>235</v>
      </c>
      <c r="AC35" s="385">
        <f>F36</f>
        <v>0</v>
      </c>
    </row>
    <row r="36" spans="1:29" ht="20.399999999999999" x14ac:dyDescent="0.35">
      <c r="B36" s="289"/>
      <c r="C36" s="943" t="s">
        <v>54</v>
      </c>
      <c r="D36" s="944"/>
      <c r="E36" s="262"/>
      <c r="F36" s="276">
        <f>IF('Gårdens info'!$D$17&gt;0,J36/'Gårdens info'!$D$17,0)</f>
        <v>0</v>
      </c>
      <c r="G36" s="119" t="s">
        <v>57</v>
      </c>
      <c r="H36" s="591">
        <f>SUM(H32:H35)</f>
        <v>0</v>
      </c>
      <c r="I36" s="119" t="s">
        <v>206</v>
      </c>
      <c r="J36" s="280">
        <f t="shared" ref="J36" si="3">SUM(J32:J35)</f>
        <v>0</v>
      </c>
      <c r="K36" s="119" t="s">
        <v>529</v>
      </c>
      <c r="L36" s="281"/>
      <c r="M36" s="259"/>
      <c r="AB36" s="382" t="s">
        <v>236</v>
      </c>
      <c r="AC36" s="386">
        <f>F43</f>
        <v>0</v>
      </c>
    </row>
    <row r="37" spans="1:29" s="69" customFormat="1" ht="21" x14ac:dyDescent="0.4">
      <c r="A37" s="625"/>
      <c r="B37" s="287"/>
      <c r="C37" s="274"/>
      <c r="D37" s="270"/>
      <c r="E37" s="262"/>
      <c r="F37" s="276"/>
      <c r="G37" s="119"/>
      <c r="H37" s="277"/>
      <c r="I37" s="119"/>
      <c r="J37" s="237"/>
      <c r="K37" s="119"/>
      <c r="L37" s="267"/>
      <c r="M37" s="259"/>
      <c r="N37"/>
      <c r="O37"/>
      <c r="P37"/>
      <c r="S37"/>
      <c r="T37"/>
      <c r="U37"/>
      <c r="AB37" s="382" t="s">
        <v>237</v>
      </c>
      <c r="AC37" s="386">
        <f>F50</f>
        <v>0</v>
      </c>
    </row>
    <row r="38" spans="1:29" s="69" customFormat="1" ht="17.399999999999999" x14ac:dyDescent="0.3">
      <c r="A38" s="625"/>
      <c r="B38" s="1081" t="s">
        <v>83</v>
      </c>
      <c r="C38" s="1082"/>
      <c r="D38" s="1082"/>
      <c r="E38" s="262"/>
      <c r="F38" s="276"/>
      <c r="G38" s="119"/>
      <c r="H38" s="277"/>
      <c r="I38" s="119"/>
      <c r="J38" s="237"/>
      <c r="K38" s="119"/>
      <c r="L38" s="267"/>
      <c r="M38" s="259"/>
      <c r="N38"/>
      <c r="O38"/>
      <c r="P38"/>
      <c r="S38"/>
      <c r="T38"/>
      <c r="U38"/>
      <c r="AB38" s="382" t="s">
        <v>141</v>
      </c>
      <c r="AC38" s="386">
        <f>F56</f>
        <v>0</v>
      </c>
    </row>
    <row r="39" spans="1:29" s="69" customFormat="1" ht="21" x14ac:dyDescent="0.4">
      <c r="A39" s="625"/>
      <c r="B39" s="287"/>
      <c r="C39" s="941" t="s">
        <v>229</v>
      </c>
      <c r="D39" s="942"/>
      <c r="E39" s="262"/>
      <c r="F39" s="276">
        <f>IF('Gårdens info'!$D$17&gt;0,J39/'Gårdens info'!$D$17,0)</f>
        <v>0</v>
      </c>
      <c r="G39" s="119" t="s">
        <v>57</v>
      </c>
      <c r="H39" s="502">
        <f>IF('Gårdens info'!$G$17&gt;0,F39/'Gårdens info'!$G$17,0)</f>
        <v>0</v>
      </c>
      <c r="I39" s="119" t="s">
        <v>206</v>
      </c>
      <c r="J39" s="237">
        <f>Egendom!AQ61</f>
        <v>0</v>
      </c>
      <c r="K39" s="119" t="s">
        <v>529</v>
      </c>
      <c r="L39" s="267"/>
      <c r="M39" s="259"/>
      <c r="AB39" s="382" t="s">
        <v>192</v>
      </c>
      <c r="AC39" s="384">
        <f>F62</f>
        <v>0</v>
      </c>
    </row>
    <row r="40" spans="1:29" s="5" customFormat="1" ht="21" x14ac:dyDescent="0.4">
      <c r="A40" s="624"/>
      <c r="B40" s="287"/>
      <c r="C40" s="941" t="s">
        <v>230</v>
      </c>
      <c r="D40" s="942"/>
      <c r="E40" s="262"/>
      <c r="F40" s="276">
        <f>IF('Gårdens info'!$D$17&gt;0,J40/'Gårdens info'!$D$17,0)</f>
        <v>0</v>
      </c>
      <c r="G40" s="119" t="s">
        <v>57</v>
      </c>
      <c r="H40" s="502">
        <f>IF('Gårdens info'!$G$17&gt;0,F40/'Gårdens info'!$G$17,0)</f>
        <v>0</v>
      </c>
      <c r="I40" s="119" t="s">
        <v>206</v>
      </c>
      <c r="J40" s="237">
        <f>Egendom!BO61</f>
        <v>0</v>
      </c>
      <c r="K40" s="119" t="s">
        <v>529</v>
      </c>
      <c r="L40" s="267"/>
      <c r="M40" s="259"/>
      <c r="N40" s="69"/>
      <c r="O40" s="69"/>
      <c r="P40" s="69"/>
      <c r="Q40" s="69"/>
      <c r="R40" s="69"/>
      <c r="S40" s="69"/>
      <c r="T40" s="69"/>
      <c r="U40" s="69"/>
    </row>
    <row r="41" spans="1:29" s="5" customFormat="1" ht="17.399999999999999" customHeight="1" x14ac:dyDescent="0.3">
      <c r="A41" s="624"/>
      <c r="B41" s="287"/>
      <c r="C41" s="1108" t="s">
        <v>232</v>
      </c>
      <c r="D41" s="1108"/>
      <c r="E41" s="262"/>
      <c r="F41" s="276">
        <f>IF('Gårdens info'!$D$17&gt;0,J41/'Gårdens info'!$D$17,0)</f>
        <v>0</v>
      </c>
      <c r="G41" s="119" t="s">
        <v>57</v>
      </c>
      <c r="H41" s="502">
        <f>IF('Gårdens info'!$G$17&gt;0,F41/'Gårdens info'!$G$17,0)</f>
        <v>0</v>
      </c>
      <c r="I41" s="119" t="s">
        <v>206</v>
      </c>
      <c r="J41" s="237">
        <f>Egendom!CM61</f>
        <v>0</v>
      </c>
      <c r="K41" s="119" t="s">
        <v>529</v>
      </c>
      <c r="L41" s="267"/>
      <c r="M41" s="259"/>
      <c r="N41" s="69"/>
      <c r="O41" s="69"/>
      <c r="P41" s="69"/>
      <c r="Q41" s="69"/>
      <c r="R41" s="69"/>
      <c r="S41" s="69"/>
      <c r="T41" s="69"/>
      <c r="U41" s="69"/>
    </row>
    <row r="42" spans="1:29" s="5" customFormat="1" ht="21" x14ac:dyDescent="0.4">
      <c r="A42" s="624"/>
      <c r="B42" s="287"/>
      <c r="C42" s="941" t="s">
        <v>483</v>
      </c>
      <c r="D42" s="942"/>
      <c r="E42" s="262"/>
      <c r="F42" s="276">
        <f>IF('Gårdens info'!$D$17&gt;0,J42/'Gårdens info'!$D$17,0)</f>
        <v>0</v>
      </c>
      <c r="G42" s="119" t="s">
        <v>57</v>
      </c>
      <c r="H42" s="502">
        <f>IF('Gårdens info'!$G$17&gt;0,F42/'Gårdens info'!$G$17,0)</f>
        <v>0</v>
      </c>
      <c r="I42" s="119" t="s">
        <v>206</v>
      </c>
      <c r="J42" s="237">
        <f>Egendom!DK61</f>
        <v>0</v>
      </c>
      <c r="K42" s="119" t="s">
        <v>529</v>
      </c>
      <c r="L42" s="267"/>
      <c r="M42" s="259"/>
    </row>
    <row r="43" spans="1:29" s="5" customFormat="1" ht="20.399999999999999" x14ac:dyDescent="0.35">
      <c r="A43" s="624"/>
      <c r="B43" s="289"/>
      <c r="C43" s="943" t="s">
        <v>54</v>
      </c>
      <c r="D43" s="944"/>
      <c r="E43" s="262"/>
      <c r="F43" s="280">
        <f>SUM(F39:F42)</f>
        <v>0</v>
      </c>
      <c r="G43" s="119" t="s">
        <v>57</v>
      </c>
      <c r="H43" s="591">
        <f>SUM(H39:H42)</f>
        <v>0</v>
      </c>
      <c r="I43" s="119" t="s">
        <v>206</v>
      </c>
      <c r="J43" s="280">
        <f t="shared" ref="J43" si="4">SUM(J39:J42)</f>
        <v>0</v>
      </c>
      <c r="K43" s="119" t="s">
        <v>529</v>
      </c>
      <c r="L43" s="281"/>
      <c r="M43" s="259"/>
    </row>
    <row r="44" spans="1:29" s="5" customFormat="1" ht="21" x14ac:dyDescent="0.4">
      <c r="A44" s="624"/>
      <c r="B44" s="287"/>
      <c r="C44" s="274"/>
      <c r="D44" s="270"/>
      <c r="E44" s="262"/>
      <c r="F44" s="276"/>
      <c r="G44" s="119"/>
      <c r="H44" s="277"/>
      <c r="I44" s="119"/>
      <c r="J44" s="237"/>
      <c r="K44" s="119"/>
      <c r="L44" s="267"/>
      <c r="M44" s="259"/>
    </row>
    <row r="45" spans="1:29" s="5" customFormat="1" ht="43.2" customHeight="1" x14ac:dyDescent="0.3">
      <c r="A45" s="624"/>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info'!$D$17&gt;0,J46/'Gårdens info'!$D$17,0)</f>
        <v>0</v>
      </c>
      <c r="G46" s="119" t="s">
        <v>57</v>
      </c>
      <c r="H46" s="502">
        <f>IF('Gårdens info'!$G$17&gt;0,F46/'Gårdens info'!$G$17,0)</f>
        <v>0</v>
      </c>
      <c r="I46" s="119" t="s">
        <v>206</v>
      </c>
      <c r="J46" s="237">
        <f>Egendom!AQ90</f>
        <v>0</v>
      </c>
      <c r="K46" s="119" t="s">
        <v>529</v>
      </c>
      <c r="L46" s="267"/>
      <c r="M46" s="259"/>
      <c r="N46" s="5"/>
      <c r="O46" s="5"/>
      <c r="P46" s="5"/>
      <c r="Q46" s="5"/>
      <c r="R46" s="5"/>
      <c r="S46" s="5"/>
      <c r="T46" s="5"/>
      <c r="U46" s="5"/>
    </row>
    <row r="47" spans="1:29" s="5" customFormat="1" ht="21" x14ac:dyDescent="0.4">
      <c r="A47" s="624"/>
      <c r="B47" s="287"/>
      <c r="C47" s="941" t="s">
        <v>230</v>
      </c>
      <c r="D47" s="942"/>
      <c r="E47" s="262"/>
      <c r="F47" s="276">
        <f>IF('Gårdens info'!$D$17&gt;0,J47/'Gårdens info'!$D$17,0)</f>
        <v>0</v>
      </c>
      <c r="G47" s="119" t="s">
        <v>57</v>
      </c>
      <c r="H47" s="502">
        <f>IF('Gårdens info'!$G$17&gt;0,F47/'Gårdens info'!$G$17,0)</f>
        <v>0</v>
      </c>
      <c r="I47" s="119" t="s">
        <v>206</v>
      </c>
      <c r="J47" s="237">
        <f>Egendom!BO90</f>
        <v>0</v>
      </c>
      <c r="K47" s="119" t="s">
        <v>529</v>
      </c>
      <c r="L47" s="267"/>
      <c r="M47" s="259"/>
    </row>
    <row r="48" spans="1:29" s="5" customFormat="1" ht="17.399999999999999" customHeight="1" x14ac:dyDescent="0.3">
      <c r="A48" s="624"/>
      <c r="B48" s="287"/>
      <c r="C48" s="1108" t="s">
        <v>232</v>
      </c>
      <c r="D48" s="1108"/>
      <c r="E48" s="262"/>
      <c r="F48" s="276">
        <f>IF('Gårdens info'!$D$17&gt;0,J48/'Gårdens info'!$D$17,0)</f>
        <v>0</v>
      </c>
      <c r="G48" s="119" t="s">
        <v>57</v>
      </c>
      <c r="H48" s="502">
        <f>IF('Gårdens info'!$G$17&gt;0,F48/'Gårdens info'!$G$17,0)</f>
        <v>0</v>
      </c>
      <c r="I48" s="119" t="s">
        <v>206</v>
      </c>
      <c r="J48" s="237">
        <f>Egendom!CM90</f>
        <v>0</v>
      </c>
      <c r="K48" s="119" t="s">
        <v>529</v>
      </c>
      <c r="L48" s="267"/>
      <c r="M48" s="259"/>
      <c r="N48"/>
      <c r="O48"/>
      <c r="P48"/>
      <c r="Q48"/>
      <c r="R48"/>
      <c r="S48"/>
      <c r="T48"/>
      <c r="U48"/>
    </row>
    <row r="49" spans="1:13" s="5" customFormat="1" ht="21" x14ac:dyDescent="0.4">
      <c r="A49" s="624"/>
      <c r="B49" s="287"/>
      <c r="C49" s="941" t="s">
        <v>483</v>
      </c>
      <c r="D49" s="942"/>
      <c r="E49" s="262"/>
      <c r="F49" s="276">
        <f>IF('Gårdens info'!$D$17&gt;0,J49/'Gårdens info'!$D$17,0)</f>
        <v>0</v>
      </c>
      <c r="G49" s="119" t="s">
        <v>57</v>
      </c>
      <c r="H49" s="502">
        <f>IF('Gårdens info'!$G$17&gt;0,F49/'Gårdens info'!$G$17,0)</f>
        <v>0</v>
      </c>
      <c r="I49" s="119" t="s">
        <v>206</v>
      </c>
      <c r="J49" s="237">
        <f>Egendom!DK90</f>
        <v>0</v>
      </c>
      <c r="K49" s="119" t="s">
        <v>529</v>
      </c>
      <c r="L49" s="267"/>
      <c r="M49" s="259"/>
    </row>
    <row r="50" spans="1:13" s="5" customFormat="1" ht="20.399999999999999" x14ac:dyDescent="0.35">
      <c r="A50" s="624"/>
      <c r="B50" s="289"/>
      <c r="C50" s="943" t="s">
        <v>54</v>
      </c>
      <c r="D50" s="944"/>
      <c r="E50" s="262"/>
      <c r="F50" s="280">
        <f>SUM(F46:F49)</f>
        <v>0</v>
      </c>
      <c r="G50" s="119" t="s">
        <v>57</v>
      </c>
      <c r="H50" s="591">
        <f>SUM(H46:H49)</f>
        <v>0</v>
      </c>
      <c r="I50" s="119" t="s">
        <v>206</v>
      </c>
      <c r="J50" s="280">
        <f t="shared" ref="J50" si="5">SUM(J46:J49)</f>
        <v>0</v>
      </c>
      <c r="K50" s="119" t="s">
        <v>529</v>
      </c>
      <c r="L50" s="281"/>
      <c r="M50" s="259"/>
    </row>
    <row r="51" spans="1:13" s="5" customFormat="1" ht="21" x14ac:dyDescent="0.4">
      <c r="A51" s="624"/>
      <c r="B51" s="287"/>
      <c r="C51" s="274"/>
      <c r="D51" s="270"/>
      <c r="E51" s="262"/>
      <c r="F51" s="276"/>
      <c r="G51" s="119"/>
      <c r="H51" s="277"/>
      <c r="I51" s="119"/>
      <c r="J51" s="237"/>
      <c r="K51" s="119"/>
      <c r="L51" s="267"/>
      <c r="M51" s="259"/>
    </row>
    <row r="52" spans="1:13" s="5" customFormat="1" ht="21" x14ac:dyDescent="0.4">
      <c r="A52" s="624"/>
      <c r="B52" s="1084" t="s">
        <v>139</v>
      </c>
      <c r="C52" s="1085"/>
      <c r="D52" s="270"/>
      <c r="E52" s="262"/>
      <c r="F52" s="276"/>
      <c r="G52" s="119"/>
      <c r="H52" s="277"/>
      <c r="I52" s="119"/>
      <c r="J52" s="237"/>
      <c r="K52" s="119"/>
      <c r="L52" s="267"/>
      <c r="M52" s="259"/>
    </row>
    <row r="53" spans="1:13" s="5" customFormat="1" ht="21" x14ac:dyDescent="0.4">
      <c r="A53" s="624"/>
      <c r="B53" s="287"/>
      <c r="C53" s="941" t="s">
        <v>229</v>
      </c>
      <c r="D53" s="942"/>
      <c r="E53" s="262"/>
      <c r="F53" s="276">
        <f>IF('Gårdens info'!$D$17&gt;0,J53/'Gårdens info'!$D$17,0)</f>
        <v>0</v>
      </c>
      <c r="G53" s="119" t="s">
        <v>57</v>
      </c>
      <c r="H53" s="502">
        <f>IF('Gårdens info'!$G$17&gt;0,F53/'Gårdens info'!$G$17,0)</f>
        <v>0</v>
      </c>
      <c r="I53" s="119" t="s">
        <v>206</v>
      </c>
      <c r="J53" s="237">
        <f>Egendom!AQ93</f>
        <v>0</v>
      </c>
      <c r="K53" s="119" t="s">
        <v>529</v>
      </c>
      <c r="L53" s="267"/>
      <c r="M53" s="259"/>
    </row>
    <row r="54" spans="1:13" s="5" customFormat="1" ht="19.95" customHeight="1" x14ac:dyDescent="0.4">
      <c r="A54" s="624"/>
      <c r="B54" s="287"/>
      <c r="C54" s="941" t="s">
        <v>230</v>
      </c>
      <c r="D54" s="942"/>
      <c r="E54" s="262"/>
      <c r="F54" s="276">
        <f>IF('Gårdens info'!$D$17&gt;0,J54/'Gårdens info'!$D$17,0)</f>
        <v>0</v>
      </c>
      <c r="G54" s="119" t="s">
        <v>57</v>
      </c>
      <c r="H54" s="502">
        <f>IF('Gårdens info'!$G$17&gt;0,F54/'Gårdens info'!$G$17,0)</f>
        <v>0</v>
      </c>
      <c r="I54" s="119" t="s">
        <v>206</v>
      </c>
      <c r="J54" s="237">
        <f>Egendom!BO93</f>
        <v>0</v>
      </c>
      <c r="K54" s="119" t="s">
        <v>529</v>
      </c>
      <c r="L54" s="267"/>
      <c r="M54" s="259"/>
    </row>
    <row r="55" spans="1:13" s="5" customFormat="1" ht="17.399999999999999" customHeight="1" x14ac:dyDescent="0.3">
      <c r="A55" s="624"/>
      <c r="B55" s="287"/>
      <c r="C55" s="1108" t="s">
        <v>232</v>
      </c>
      <c r="D55" s="1108"/>
      <c r="E55" s="262"/>
      <c r="F55" s="276">
        <f>IF('Gårdens info'!$D$17&gt;0,J55/'Gårdens info'!$D$17,0)</f>
        <v>0</v>
      </c>
      <c r="G55" s="119" t="s">
        <v>57</v>
      </c>
      <c r="H55" s="502">
        <f>IF('Gårdens info'!$G$17&gt;0,F55/'Gårdens info'!$G$17,0)</f>
        <v>0</v>
      </c>
      <c r="I55" s="119" t="s">
        <v>206</v>
      </c>
      <c r="J55" s="237">
        <f>Egendom!CM93</f>
        <v>0</v>
      </c>
      <c r="K55" s="119" t="s">
        <v>529</v>
      </c>
      <c r="L55" s="267"/>
      <c r="M55" s="259"/>
    </row>
    <row r="56" spans="1:13" s="5" customFormat="1" ht="15.6" x14ac:dyDescent="0.3">
      <c r="A56" s="624"/>
      <c r="B56" s="286"/>
      <c r="C56" s="261" t="s">
        <v>54</v>
      </c>
      <c r="D56" s="261"/>
      <c r="E56" s="261"/>
      <c r="F56" s="280">
        <f>SUM(F53:F55)</f>
        <v>0</v>
      </c>
      <c r="G56" s="119" t="s">
        <v>57</v>
      </c>
      <c r="H56" s="591">
        <f>SUM(H53:H55)</f>
        <v>0</v>
      </c>
      <c r="I56" s="119" t="s">
        <v>206</v>
      </c>
      <c r="J56" s="280">
        <f t="shared" ref="J56" si="6">SUM(J53:J55)</f>
        <v>0</v>
      </c>
      <c r="K56" s="119" t="s">
        <v>529</v>
      </c>
      <c r="L56" s="284"/>
      <c r="M56" s="290"/>
    </row>
    <row r="57" spans="1:13" s="5" customFormat="1" ht="21" customHeight="1" x14ac:dyDescent="0.4">
      <c r="A57" s="624"/>
      <c r="B57" s="1061" t="s">
        <v>191</v>
      </c>
      <c r="C57" s="1043"/>
      <c r="D57" s="1043"/>
      <c r="E57" s="262"/>
      <c r="F57" s="266">
        <f>F36+F43+F50+F56</f>
        <v>0</v>
      </c>
      <c r="G57" s="267" t="s">
        <v>57</v>
      </c>
      <c r="H57" s="507">
        <f>H36+H43+H50+H56</f>
        <v>0</v>
      </c>
      <c r="I57" s="267" t="s">
        <v>206</v>
      </c>
      <c r="J57" s="269">
        <f>J36+J43+J50+J56</f>
        <v>0</v>
      </c>
      <c r="K57" s="267" t="s">
        <v>529</v>
      </c>
      <c r="L57" s="267"/>
      <c r="M57" s="259"/>
    </row>
    <row r="58" spans="1:13" s="5" customFormat="1" ht="15.6" x14ac:dyDescent="0.3">
      <c r="A58" s="624"/>
      <c r="B58" s="286"/>
      <c r="C58" s="262"/>
      <c r="D58" s="262"/>
      <c r="E58" s="262"/>
      <c r="F58" s="263"/>
      <c r="G58" s="243"/>
      <c r="H58" s="264"/>
      <c r="I58" s="243"/>
      <c r="J58" s="258"/>
      <c r="K58" s="243"/>
      <c r="L58" s="265"/>
      <c r="M58" s="259"/>
    </row>
    <row r="59" spans="1:13" s="5" customFormat="1" ht="21" x14ac:dyDescent="0.4">
      <c r="A59" s="624"/>
      <c r="B59" s="257" t="s">
        <v>192</v>
      </c>
      <c r="C59" s="262"/>
      <c r="D59" s="262"/>
      <c r="E59" s="262"/>
      <c r="F59" s="263"/>
      <c r="G59" s="243"/>
      <c r="H59" s="264"/>
      <c r="I59" s="243"/>
      <c r="J59" s="258"/>
      <c r="K59" s="243"/>
      <c r="L59" s="265"/>
      <c r="M59" s="259"/>
    </row>
    <row r="60" spans="1:13" s="5" customFormat="1" ht="15" x14ac:dyDescent="0.25">
      <c r="A60" s="624"/>
      <c r="B60" s="235"/>
      <c r="C60" s="228" t="s">
        <v>192</v>
      </c>
      <c r="D60" s="236"/>
      <c r="E60" s="236"/>
      <c r="F60" s="237">
        <f>IF('Gårdens info'!D17&gt;0,H173,0)</f>
        <v>0</v>
      </c>
      <c r="G60" s="119" t="s">
        <v>57</v>
      </c>
      <c r="H60" s="503">
        <f>IF('Gårdens info'!G17&gt;0,F60/'Gårdens info'!$G$17,0)</f>
        <v>0</v>
      </c>
      <c r="I60" s="119" t="s">
        <v>206</v>
      </c>
      <c r="J60" s="237">
        <f>F60*'Gårdens info'!D12</f>
        <v>0</v>
      </c>
      <c r="K60" s="119" t="s">
        <v>529</v>
      </c>
      <c r="L60" s="236"/>
      <c r="M60" s="239"/>
    </row>
    <row r="61" spans="1:13" s="5" customFormat="1" ht="17.399999999999999" x14ac:dyDescent="0.3">
      <c r="A61" s="624"/>
      <c r="B61" s="248"/>
      <c r="C61" s="245"/>
      <c r="D61" s="249"/>
      <c r="E61" s="249"/>
      <c r="F61" s="250"/>
      <c r="G61" s="120"/>
      <c r="H61" s="249"/>
      <c r="I61" s="249"/>
      <c r="J61" s="249"/>
      <c r="K61" s="249"/>
      <c r="L61" s="249"/>
      <c r="M61" s="234"/>
    </row>
    <row r="62" spans="1:13" s="5" customFormat="1" ht="21" customHeight="1" x14ac:dyDescent="0.4">
      <c r="A62" s="624"/>
      <c r="B62" s="345" t="s">
        <v>194</v>
      </c>
      <c r="C62" s="346"/>
      <c r="D62" s="346"/>
      <c r="E62" s="262"/>
      <c r="F62" s="266">
        <f>F60</f>
        <v>0</v>
      </c>
      <c r="G62" s="267" t="s">
        <v>57</v>
      </c>
      <c r="H62" s="507">
        <f>H60</f>
        <v>0</v>
      </c>
      <c r="I62" s="267" t="s">
        <v>206</v>
      </c>
      <c r="J62" s="269">
        <f>J60</f>
        <v>0</v>
      </c>
      <c r="K62" s="267" t="s">
        <v>529</v>
      </c>
      <c r="L62" s="267"/>
      <c r="M62" s="259"/>
    </row>
    <row r="63" spans="1:13" s="5" customFormat="1" ht="21" x14ac:dyDescent="0.4">
      <c r="A63" s="624"/>
      <c r="B63" s="288"/>
      <c r="C63" s="270"/>
      <c r="D63" s="270"/>
      <c r="E63" s="262"/>
      <c r="F63" s="266"/>
      <c r="G63" s="267"/>
      <c r="H63" s="507"/>
      <c r="I63" s="267"/>
      <c r="J63" s="269"/>
      <c r="K63" s="267"/>
      <c r="L63" s="267"/>
      <c r="M63" s="259"/>
    </row>
    <row r="64" spans="1:13" s="5" customFormat="1" ht="21" customHeight="1" x14ac:dyDescent="0.4">
      <c r="A64" s="624"/>
      <c r="B64" s="1061" t="s">
        <v>195</v>
      </c>
      <c r="C64" s="1043"/>
      <c r="D64" s="1043"/>
      <c r="E64" s="262"/>
      <c r="F64" s="266">
        <f>F28+F57+F62</f>
        <v>0</v>
      </c>
      <c r="G64" s="267" t="s">
        <v>57</v>
      </c>
      <c r="H64" s="572">
        <f>H28+H57+H62</f>
        <v>0</v>
      </c>
      <c r="I64" s="267" t="s">
        <v>206</v>
      </c>
      <c r="J64" s="266">
        <f>J28+J57+J62</f>
        <v>0</v>
      </c>
      <c r="K64" s="267" t="s">
        <v>529</v>
      </c>
      <c r="L64" s="267"/>
      <c r="M64" s="259"/>
    </row>
    <row r="65" spans="1:21" s="5" customFormat="1" ht="21" x14ac:dyDescent="0.4">
      <c r="A65" s="624"/>
      <c r="B65" s="288"/>
      <c r="C65" s="270"/>
      <c r="D65" s="270"/>
      <c r="E65" s="262"/>
      <c r="F65" s="266"/>
      <c r="G65" s="267"/>
      <c r="H65" s="268"/>
      <c r="I65" s="267"/>
      <c r="J65" s="269"/>
      <c r="K65" s="267"/>
      <c r="L65" s="267"/>
      <c r="M65" s="259"/>
    </row>
    <row r="66" spans="1:21" s="5" customFormat="1" ht="21.6" customHeight="1" thickBot="1" x14ac:dyDescent="0.45">
      <c r="A66" s="624"/>
      <c r="B66" s="1059" t="s">
        <v>198</v>
      </c>
      <c r="C66" s="1060"/>
      <c r="D66" s="1060"/>
      <c r="E66" s="253"/>
      <c r="F66" s="292">
        <f>F11-F28-F57-F62</f>
        <v>0</v>
      </c>
      <c r="G66" s="293" t="s">
        <v>57</v>
      </c>
      <c r="H66" s="510">
        <f>H11-H28-H57-H62</f>
        <v>0</v>
      </c>
      <c r="I66" s="293" t="s">
        <v>206</v>
      </c>
      <c r="J66" s="292">
        <f>J11-J28-J57-J62</f>
        <v>0</v>
      </c>
      <c r="K66" s="293" t="s">
        <v>529</v>
      </c>
      <c r="L66" s="293"/>
      <c r="M66" s="254"/>
    </row>
    <row r="67" spans="1:21" s="5" customFormat="1" ht="21" x14ac:dyDescent="0.4">
      <c r="A67" s="624"/>
      <c r="B67" s="55"/>
      <c r="C67"/>
      <c r="D67"/>
      <c r="E67"/>
      <c r="F67"/>
      <c r="G67"/>
      <c r="H67"/>
      <c r="I67"/>
      <c r="J67"/>
      <c r="K67"/>
      <c r="L67"/>
      <c r="M67"/>
    </row>
    <row r="68" spans="1:21" s="194" customFormat="1" ht="16.2" thickBot="1" x14ac:dyDescent="0.35">
      <c r="A68" s="628"/>
      <c r="B68"/>
      <c r="C68"/>
      <c r="D68"/>
      <c r="E68"/>
      <c r="F68"/>
      <c r="G68"/>
      <c r="H68"/>
      <c r="I68"/>
      <c r="J68"/>
      <c r="K68"/>
      <c r="L68"/>
      <c r="M68"/>
      <c r="N68" s="5"/>
      <c r="O68" s="5"/>
      <c r="P68" s="5"/>
      <c r="Q68" s="5"/>
      <c r="R68" s="5"/>
      <c r="S68" s="5"/>
      <c r="T68" s="5"/>
      <c r="U68" s="5"/>
    </row>
    <row r="69" spans="1:21" s="5" customFormat="1" ht="21.6" customHeight="1" thickBot="1" x14ac:dyDescent="0.45">
      <c r="A69" s="624"/>
      <c r="B69" s="1078" t="s">
        <v>240</v>
      </c>
      <c r="C69" s="1079"/>
      <c r="D69" s="1079"/>
      <c r="E69" s="1080"/>
      <c r="F69"/>
      <c r="G69"/>
      <c r="H69"/>
      <c r="I69"/>
      <c r="J69"/>
      <c r="K69"/>
      <c r="L69" s="1073" t="s">
        <v>241</v>
      </c>
      <c r="M69" s="1073"/>
    </row>
    <row r="70" spans="1:21" s="5" customFormat="1" ht="21" x14ac:dyDescent="0.4">
      <c r="A70" s="624"/>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218</v>
      </c>
      <c r="D73" s="46"/>
      <c r="E73" s="44"/>
      <c r="F73" s="74">
        <v>1000000</v>
      </c>
      <c r="G73" s="44" t="s">
        <v>357</v>
      </c>
      <c r="H73" s="74">
        <v>6.9999999999999999E-4</v>
      </c>
      <c r="I73" s="49" t="s">
        <v>246</v>
      </c>
      <c r="J73" s="191">
        <f>F73*H73</f>
        <v>700</v>
      </c>
      <c r="K73" s="44" t="s">
        <v>57</v>
      </c>
      <c r="L73" s="44"/>
      <c r="M73" s="46"/>
    </row>
    <row r="74" spans="1:21" s="5" customFormat="1" x14ac:dyDescent="0.25">
      <c r="A74" s="624"/>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624"/>
      <c r="B76" s="96" t="s">
        <v>494</v>
      </c>
      <c r="C76" s="97"/>
      <c r="D76" s="97"/>
      <c r="E76" s="97"/>
      <c r="F76" s="1074" t="s">
        <v>114</v>
      </c>
      <c r="G76" s="1074"/>
      <c r="H76" s="1074" t="s">
        <v>113</v>
      </c>
      <c r="I76" s="1074"/>
      <c r="J76" s="1074" t="s">
        <v>243</v>
      </c>
      <c r="K76" s="1074"/>
      <c r="L76" s="99"/>
      <c r="M76" s="99"/>
    </row>
    <row r="77" spans="1:21" s="56" customFormat="1" ht="18" thickBot="1" x14ac:dyDescent="0.35">
      <c r="A77" s="626"/>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625"/>
      <c r="B78" s="97"/>
      <c r="C78" s="97" t="s">
        <v>358</v>
      </c>
      <c r="D78" s="99"/>
      <c r="E78" s="97"/>
      <c r="F78" s="94">
        <v>600</v>
      </c>
      <c r="G78" s="97" t="s">
        <v>212</v>
      </c>
      <c r="H78" s="77">
        <v>0.75</v>
      </c>
      <c r="I78" s="98" t="s">
        <v>206</v>
      </c>
      <c r="J78" s="100">
        <f>F78*H78</f>
        <v>450</v>
      </c>
      <c r="K78" s="97" t="s">
        <v>57</v>
      </c>
      <c r="L78" s="99"/>
      <c r="M78" s="99"/>
      <c r="N78" s="5"/>
      <c r="O78" s="5"/>
      <c r="P78" s="5"/>
      <c r="Q78" s="5"/>
      <c r="R78" s="5"/>
      <c r="S78" s="5"/>
      <c r="T78" s="5"/>
      <c r="U78" s="5"/>
    </row>
    <row r="79" spans="1:21" s="5" customFormat="1" ht="18" thickBot="1" x14ac:dyDescent="0.35">
      <c r="A79" s="624"/>
      <c r="B79" s="97"/>
      <c r="C79" s="97" t="s">
        <v>359</v>
      </c>
      <c r="D79" s="99"/>
      <c r="E79" s="97"/>
      <c r="F79" s="94">
        <v>200</v>
      </c>
      <c r="G79" s="97" t="s">
        <v>212</v>
      </c>
      <c r="H79" s="77">
        <v>0.59</v>
      </c>
      <c r="I79" s="98" t="s">
        <v>206</v>
      </c>
      <c r="J79" s="100">
        <f t="shared" ref="J79:J83" si="7">F79*H79</f>
        <v>118</v>
      </c>
      <c r="K79" s="97" t="s">
        <v>57</v>
      </c>
      <c r="L79" s="99"/>
      <c r="M79" s="99"/>
      <c r="N79" s="56"/>
      <c r="O79" s="56"/>
      <c r="P79" s="56"/>
      <c r="Q79" s="56"/>
      <c r="R79" s="56"/>
      <c r="S79" s="56"/>
      <c r="T79" s="56"/>
      <c r="U79" s="56"/>
    </row>
    <row r="80" spans="1:21" s="56" customFormat="1" ht="18" thickBot="1" x14ac:dyDescent="0.35">
      <c r="A80" s="626"/>
      <c r="B80" s="97"/>
      <c r="C80" s="97" t="s">
        <v>360</v>
      </c>
      <c r="D80" s="99"/>
      <c r="E80" s="97"/>
      <c r="F80" s="74">
        <v>200</v>
      </c>
      <c r="G80" s="97" t="s">
        <v>212</v>
      </c>
      <c r="H80" s="77">
        <v>0.4</v>
      </c>
      <c r="I80" s="98" t="s">
        <v>206</v>
      </c>
      <c r="J80" s="100">
        <f t="shared" si="7"/>
        <v>80</v>
      </c>
      <c r="K80" s="97" t="s">
        <v>57</v>
      </c>
      <c r="L80" s="99"/>
      <c r="M80" s="99"/>
      <c r="N80" s="69"/>
      <c r="O80" s="69"/>
      <c r="P80" s="69"/>
      <c r="Q80" s="69"/>
      <c r="R80" s="69"/>
      <c r="S80" s="69"/>
      <c r="T80" s="69"/>
      <c r="U80" s="69"/>
    </row>
    <row r="81" spans="1:21" s="69" customFormat="1" ht="15.6" thickBot="1" x14ac:dyDescent="0.3">
      <c r="A81" s="625"/>
      <c r="B81" s="97"/>
      <c r="C81" s="945" t="s">
        <v>361</v>
      </c>
      <c r="D81" s="99"/>
      <c r="E81" s="97"/>
      <c r="F81" s="74">
        <v>1400</v>
      </c>
      <c r="G81" s="97" t="s">
        <v>212</v>
      </c>
      <c r="H81" s="77">
        <v>0.46</v>
      </c>
      <c r="I81" s="98" t="s">
        <v>206</v>
      </c>
      <c r="J81" s="100">
        <f t="shared" si="7"/>
        <v>644</v>
      </c>
      <c r="K81" s="97" t="s">
        <v>57</v>
      </c>
      <c r="L81" s="99"/>
      <c r="M81" s="99"/>
      <c r="N81" s="5"/>
      <c r="O81" s="5"/>
      <c r="P81" s="5"/>
      <c r="Q81" s="5"/>
      <c r="R81" s="5"/>
      <c r="S81" s="5"/>
      <c r="T81" s="5"/>
      <c r="U81" s="5"/>
    </row>
    <row r="82" spans="1:21" s="56" customFormat="1" ht="18" thickBot="1" x14ac:dyDescent="0.35">
      <c r="A82" s="626"/>
      <c r="B82" s="97"/>
      <c r="C82" s="945" t="s">
        <v>251</v>
      </c>
      <c r="D82" s="97"/>
      <c r="E82" s="97"/>
      <c r="F82" s="74"/>
      <c r="G82" s="97" t="s">
        <v>212</v>
      </c>
      <c r="H82" s="77"/>
      <c r="I82" s="98" t="s">
        <v>206</v>
      </c>
      <c r="J82" s="100">
        <f t="shared" si="7"/>
        <v>0</v>
      </c>
      <c r="K82" s="97" t="s">
        <v>57</v>
      </c>
      <c r="L82" s="99"/>
      <c r="M82" s="99"/>
    </row>
    <row r="83" spans="1:21" ht="15.6" thickBot="1" x14ac:dyDescent="0.3">
      <c r="B83" s="97"/>
      <c r="C83" s="945" t="s">
        <v>251</v>
      </c>
      <c r="D83" s="97"/>
      <c r="E83" s="97"/>
      <c r="F83" s="74"/>
      <c r="G83" s="97" t="s">
        <v>212</v>
      </c>
      <c r="H83" s="77"/>
      <c r="I83" s="98" t="s">
        <v>206</v>
      </c>
      <c r="J83" s="100">
        <f t="shared" si="7"/>
        <v>0</v>
      </c>
      <c r="K83" s="97" t="s">
        <v>57</v>
      </c>
      <c r="L83" s="99"/>
      <c r="M83" s="99"/>
      <c r="N83" s="69"/>
      <c r="O83" s="69"/>
      <c r="P83" s="69"/>
      <c r="Q83" s="69"/>
      <c r="R83" s="69"/>
      <c r="S83" s="69"/>
      <c r="T83" s="69"/>
      <c r="U83" s="69"/>
    </row>
    <row r="84" spans="1:21" s="69" customFormat="1" ht="17.399999999999999" x14ac:dyDescent="0.3">
      <c r="A84" s="625"/>
      <c r="B84" s="214"/>
      <c r="C84" s="214" t="s">
        <v>54</v>
      </c>
      <c r="D84" s="214"/>
      <c r="E84" s="214"/>
      <c r="F84" s="214"/>
      <c r="G84" s="214"/>
      <c r="H84" s="214"/>
      <c r="I84" s="215"/>
      <c r="J84" s="216">
        <f>SUM(J78:J83)</f>
        <v>1292</v>
      </c>
      <c r="K84" s="214" t="s">
        <v>57</v>
      </c>
      <c r="L84" s="214"/>
      <c r="M84" s="214"/>
      <c r="N84" s="56"/>
      <c r="O84" s="56"/>
      <c r="P84" s="56"/>
      <c r="Q84" s="56"/>
      <c r="R84" s="56"/>
      <c r="S84" s="56"/>
      <c r="T84" s="56"/>
      <c r="U84" s="56"/>
    </row>
    <row r="85" spans="1:21" s="5" customFormat="1" x14ac:dyDescent="0.25">
      <c r="A85" s="624"/>
      <c r="B85" s="97"/>
      <c r="C85" s="97"/>
      <c r="D85" s="97"/>
      <c r="E85" s="97"/>
      <c r="F85" s="97"/>
      <c r="G85" s="97"/>
      <c r="H85" s="97"/>
      <c r="I85" s="98"/>
      <c r="J85" s="100"/>
      <c r="K85" s="97"/>
      <c r="L85" s="99"/>
      <c r="M85" s="99"/>
      <c r="N85"/>
      <c r="O85"/>
      <c r="P85"/>
      <c r="Q85"/>
      <c r="R85"/>
      <c r="S85"/>
      <c r="T85"/>
      <c r="U85"/>
    </row>
    <row r="86" spans="1:21" s="5" customFormat="1" ht="15" x14ac:dyDescent="0.25">
      <c r="A86" s="624"/>
      <c r="B86"/>
      <c r="C86"/>
      <c r="D86"/>
      <c r="E86"/>
      <c r="F86"/>
      <c r="G86"/>
      <c r="H86"/>
      <c r="I86"/>
      <c r="J86"/>
      <c r="K86"/>
      <c r="L86"/>
      <c r="M86"/>
      <c r="N86" s="69"/>
      <c r="O86" s="69"/>
      <c r="P86" s="69"/>
      <c r="Q86" s="69"/>
      <c r="R86" s="69"/>
      <c r="S86" s="69"/>
      <c r="T86" s="69"/>
      <c r="U86" s="69"/>
    </row>
    <row r="87" spans="1:21" s="5" customFormat="1" ht="15.6" x14ac:dyDescent="0.3">
      <c r="A87" s="624"/>
      <c r="B87" s="85" t="s">
        <v>252</v>
      </c>
      <c r="C87" s="51"/>
      <c r="D87" s="51"/>
      <c r="E87" s="51"/>
      <c r="F87" s="1075" t="s">
        <v>114</v>
      </c>
      <c r="G87" s="1075"/>
      <c r="H87" s="1076" t="s">
        <v>113</v>
      </c>
      <c r="I87" s="1076"/>
      <c r="J87" s="1075" t="s">
        <v>243</v>
      </c>
      <c r="K87" s="1075"/>
      <c r="L87" s="58"/>
      <c r="M87" s="58"/>
    </row>
    <row r="88" spans="1:21" x14ac:dyDescent="0.25">
      <c r="B88" s="51"/>
      <c r="C88" s="51"/>
      <c r="D88" s="51"/>
      <c r="E88" s="51"/>
      <c r="F88" s="53"/>
      <c r="G88" s="53"/>
      <c r="H88" s="52"/>
      <c r="I88" s="52"/>
      <c r="J88" s="52"/>
      <c r="K88" s="58"/>
      <c r="L88" s="58"/>
      <c r="M88" s="58"/>
      <c r="N88" s="5"/>
      <c r="O88" s="5"/>
      <c r="P88" s="5"/>
      <c r="Q88" s="5"/>
      <c r="R88" s="5"/>
      <c r="S88" s="5"/>
      <c r="T88" s="5"/>
      <c r="U88" s="5"/>
    </row>
    <row r="89" spans="1:21" ht="15.6" x14ac:dyDescent="0.3">
      <c r="B89" s="85"/>
      <c r="C89" s="51"/>
      <c r="D89" s="387" t="s">
        <v>495</v>
      </c>
      <c r="E89" s="51"/>
      <c r="F89" s="59"/>
      <c r="G89" s="59"/>
      <c r="H89" s="60"/>
      <c r="I89" s="60"/>
      <c r="J89" s="59"/>
      <c r="K89" s="59"/>
      <c r="L89" s="58"/>
      <c r="M89" s="58"/>
    </row>
    <row r="90" spans="1:21" ht="13.8" thickBot="1" x14ac:dyDescent="0.3">
      <c r="B90" s="171" t="s">
        <v>254</v>
      </c>
      <c r="C90" s="51"/>
      <c r="D90" s="51"/>
      <c r="E90" s="51"/>
      <c r="F90" s="53"/>
      <c r="G90" s="53"/>
      <c r="H90" s="52"/>
      <c r="I90" s="52"/>
      <c r="J90" s="58"/>
      <c r="K90" s="58"/>
      <c r="L90" s="58"/>
      <c r="M90" s="58"/>
    </row>
    <row r="91" spans="1:21" ht="13.8" thickBot="1" x14ac:dyDescent="0.3">
      <c r="B91" s="51"/>
      <c r="C91" s="51" t="s">
        <v>485</v>
      </c>
      <c r="D91" s="58"/>
      <c r="E91" s="51"/>
      <c r="F91" s="95">
        <v>3</v>
      </c>
      <c r="G91" s="53" t="s">
        <v>256</v>
      </c>
      <c r="H91" s="77">
        <v>26.8</v>
      </c>
      <c r="I91" s="52" t="s">
        <v>257</v>
      </c>
      <c r="J91" s="58">
        <f>F91*H91</f>
        <v>80.400000000000006</v>
      </c>
      <c r="K91" s="51" t="s">
        <v>57</v>
      </c>
      <c r="L91" s="58"/>
      <c r="M91" s="58"/>
    </row>
    <row r="92" spans="1:21" ht="13.8" thickBot="1" x14ac:dyDescent="0.3">
      <c r="B92" s="51"/>
      <c r="C92" s="51" t="s">
        <v>533</v>
      </c>
      <c r="D92" s="58"/>
      <c r="E92" s="51"/>
      <c r="F92" s="95">
        <v>0.2</v>
      </c>
      <c r="G92" s="53" t="s">
        <v>212</v>
      </c>
      <c r="H92" s="77">
        <v>47.45</v>
      </c>
      <c r="I92" s="52" t="s">
        <v>206</v>
      </c>
      <c r="J92" s="58">
        <f t="shared" ref="J92:J97" si="8">F92*H92</f>
        <v>9.49</v>
      </c>
      <c r="K92" s="51" t="s">
        <v>57</v>
      </c>
      <c r="L92" s="58"/>
      <c r="M92" s="58"/>
    </row>
    <row r="93" spans="1:21" ht="13.8" thickBot="1" x14ac:dyDescent="0.3">
      <c r="B93" s="51"/>
      <c r="C93" s="51" t="s">
        <v>487</v>
      </c>
      <c r="D93" s="58"/>
      <c r="E93" s="51"/>
      <c r="F93" s="95">
        <v>1</v>
      </c>
      <c r="G93" s="53" t="s">
        <v>256</v>
      </c>
      <c r="H93" s="77">
        <v>46.47</v>
      </c>
      <c r="I93" s="52" t="s">
        <v>257</v>
      </c>
      <c r="J93" s="58">
        <f t="shared" si="8"/>
        <v>46.47</v>
      </c>
      <c r="K93" s="51" t="s">
        <v>57</v>
      </c>
      <c r="L93" s="58"/>
      <c r="M93" s="58"/>
    </row>
    <row r="94" spans="1:21" ht="13.8" thickBot="1" x14ac:dyDescent="0.3">
      <c r="B94" s="51"/>
      <c r="C94" s="51" t="s">
        <v>534</v>
      </c>
      <c r="D94" s="58"/>
      <c r="E94" s="51"/>
      <c r="F94" s="95">
        <v>0.6</v>
      </c>
      <c r="G94" s="53" t="s">
        <v>256</v>
      </c>
      <c r="H94" s="77">
        <v>20.48</v>
      </c>
      <c r="I94" s="52" t="s">
        <v>257</v>
      </c>
      <c r="J94" s="463">
        <f t="shared" si="8"/>
        <v>12.288</v>
      </c>
      <c r="K94" s="51" t="s">
        <v>57</v>
      </c>
      <c r="L94" s="58"/>
      <c r="M94" s="58"/>
    </row>
    <row r="95" spans="1:21" ht="13.8" thickBot="1" x14ac:dyDescent="0.3">
      <c r="B95" s="51"/>
      <c r="C95" s="51" t="s">
        <v>520</v>
      </c>
      <c r="D95" s="58"/>
      <c r="E95" s="51"/>
      <c r="F95" s="95"/>
      <c r="G95" s="53" t="s">
        <v>256</v>
      </c>
      <c r="H95" s="77"/>
      <c r="I95" s="52" t="s">
        <v>257</v>
      </c>
      <c r="J95" s="58">
        <f t="shared" si="8"/>
        <v>0</v>
      </c>
      <c r="K95" s="51" t="s">
        <v>57</v>
      </c>
      <c r="L95" s="58"/>
      <c r="M95" s="58"/>
    </row>
    <row r="96" spans="1:21" ht="13.8" thickBot="1" x14ac:dyDescent="0.3">
      <c r="B96" s="51"/>
      <c r="C96" s="51" t="s">
        <v>520</v>
      </c>
      <c r="D96" s="51"/>
      <c r="E96" s="51"/>
      <c r="F96" s="95"/>
      <c r="G96" s="53" t="s">
        <v>256</v>
      </c>
      <c r="H96" s="77"/>
      <c r="I96" s="52" t="s">
        <v>257</v>
      </c>
      <c r="J96" s="58">
        <f t="shared" si="8"/>
        <v>0</v>
      </c>
      <c r="K96" s="51" t="s">
        <v>57</v>
      </c>
      <c r="L96" s="58"/>
      <c r="M96" s="58"/>
    </row>
    <row r="97" spans="1:13" ht="13.8" thickBot="1" x14ac:dyDescent="0.3">
      <c r="B97" s="51"/>
      <c r="C97" s="51" t="s">
        <v>520</v>
      </c>
      <c r="D97" s="51"/>
      <c r="E97" s="51"/>
      <c r="F97" s="95"/>
      <c r="G97" s="53" t="s">
        <v>256</v>
      </c>
      <c r="H97" s="77"/>
      <c r="I97" s="52" t="s">
        <v>257</v>
      </c>
      <c r="J97" s="58">
        <f t="shared" si="8"/>
        <v>0</v>
      </c>
      <c r="K97" s="51" t="s">
        <v>57</v>
      </c>
      <c r="L97" s="58"/>
      <c r="M97" s="58"/>
    </row>
    <row r="98" spans="1:13" x14ac:dyDescent="0.25">
      <c r="B98" s="51"/>
      <c r="C98" s="51"/>
      <c r="D98" s="51"/>
      <c r="E98" s="51"/>
      <c r="F98" s="53"/>
      <c r="G98" s="53"/>
      <c r="H98" s="52"/>
      <c r="I98" s="52"/>
      <c r="J98" s="58"/>
      <c r="K98" s="51"/>
      <c r="L98" s="58"/>
      <c r="M98" s="58"/>
    </row>
    <row r="99" spans="1:13" ht="13.8" thickBot="1" x14ac:dyDescent="0.3">
      <c r="B99" s="171" t="s">
        <v>266</v>
      </c>
      <c r="C99" s="51"/>
      <c r="D99" s="51"/>
      <c r="E99" s="51"/>
      <c r="F99" s="53"/>
      <c r="G99" s="53"/>
      <c r="H99" s="52"/>
      <c r="I99" s="52"/>
      <c r="J99" s="58"/>
      <c r="K99" s="51"/>
      <c r="L99" s="58"/>
      <c r="M99" s="58"/>
    </row>
    <row r="100" spans="1:13" ht="13.8" thickBot="1" x14ac:dyDescent="0.3">
      <c r="B100" s="51"/>
      <c r="C100" s="51" t="s">
        <v>366</v>
      </c>
      <c r="D100" s="51"/>
      <c r="E100" s="51"/>
      <c r="F100" s="95">
        <v>5</v>
      </c>
      <c r="G100" s="53" t="s">
        <v>260</v>
      </c>
      <c r="H100" s="95">
        <v>13</v>
      </c>
      <c r="I100" s="52" t="s">
        <v>261</v>
      </c>
      <c r="J100" s="58">
        <f t="shared" ref="J100:J104" si="9">F100*H100</f>
        <v>65</v>
      </c>
      <c r="K100" s="51" t="s">
        <v>57</v>
      </c>
      <c r="L100" s="58"/>
      <c r="M100" s="58"/>
    </row>
    <row r="101" spans="1:13" ht="13.8" thickBot="1" x14ac:dyDescent="0.3">
      <c r="B101" s="51"/>
      <c r="C101" s="51" t="s">
        <v>521</v>
      </c>
      <c r="D101" s="51"/>
      <c r="E101" s="51"/>
      <c r="F101" s="95"/>
      <c r="G101" s="53" t="s">
        <v>256</v>
      </c>
      <c r="H101" s="95"/>
      <c r="I101" s="52" t="s">
        <v>257</v>
      </c>
      <c r="J101" s="58">
        <f t="shared" si="9"/>
        <v>0</v>
      </c>
      <c r="K101" s="51" t="s">
        <v>57</v>
      </c>
      <c r="L101" s="58"/>
      <c r="M101" s="58"/>
    </row>
    <row r="102" spans="1:13" ht="13.8" thickBot="1" x14ac:dyDescent="0.3">
      <c r="B102" s="51"/>
      <c r="C102" s="51" t="s">
        <v>521</v>
      </c>
      <c r="D102" s="51"/>
      <c r="E102" s="51"/>
      <c r="F102" s="95"/>
      <c r="G102" s="53" t="s">
        <v>256</v>
      </c>
      <c r="H102" s="95"/>
      <c r="I102" s="52" t="s">
        <v>257</v>
      </c>
      <c r="J102" s="58">
        <f t="shared" si="9"/>
        <v>0</v>
      </c>
      <c r="K102" s="51" t="s">
        <v>57</v>
      </c>
      <c r="L102" s="58"/>
      <c r="M102" s="58"/>
    </row>
    <row r="103" spans="1:13" ht="13.8" thickBot="1" x14ac:dyDescent="0.3">
      <c r="B103" s="51"/>
      <c r="C103" s="51" t="s">
        <v>521</v>
      </c>
      <c r="D103" s="51"/>
      <c r="E103" s="51"/>
      <c r="F103" s="95"/>
      <c r="G103" s="53" t="s">
        <v>256</v>
      </c>
      <c r="H103" s="95"/>
      <c r="I103" s="52" t="s">
        <v>257</v>
      </c>
      <c r="J103" s="58">
        <f t="shared" si="9"/>
        <v>0</v>
      </c>
      <c r="K103" s="51" t="s">
        <v>57</v>
      </c>
      <c r="L103" s="58"/>
      <c r="M103" s="58"/>
    </row>
    <row r="104" spans="1:13" ht="13.8" thickBot="1" x14ac:dyDescent="0.3">
      <c r="B104" s="51"/>
      <c r="C104" s="51" t="s">
        <v>521</v>
      </c>
      <c r="D104" s="51"/>
      <c r="E104" s="51"/>
      <c r="F104" s="95"/>
      <c r="G104" s="53" t="s">
        <v>256</v>
      </c>
      <c r="H104" s="95"/>
      <c r="I104" s="52" t="s">
        <v>257</v>
      </c>
      <c r="J104" s="58">
        <f t="shared" si="9"/>
        <v>0</v>
      </c>
      <c r="K104" s="51" t="s">
        <v>57</v>
      </c>
      <c r="L104" s="58"/>
      <c r="M104" s="58"/>
    </row>
    <row r="105" spans="1:13" s="5" customFormat="1" x14ac:dyDescent="0.25">
      <c r="A105" s="624"/>
      <c r="B105" s="195"/>
      <c r="C105" s="195" t="s">
        <v>54</v>
      </c>
      <c r="D105" s="195"/>
      <c r="E105" s="195"/>
      <c r="F105" s="196"/>
      <c r="G105" s="196"/>
      <c r="H105" s="196"/>
      <c r="I105" s="197"/>
      <c r="J105" s="197">
        <f>SUM(J91:J104)</f>
        <v>213.64800000000002</v>
      </c>
      <c r="K105" s="195" t="s">
        <v>57</v>
      </c>
      <c r="L105" s="195"/>
      <c r="M105" s="195"/>
    </row>
    <row r="106" spans="1:13" x14ac:dyDescent="0.25">
      <c r="B106" s="51"/>
      <c r="C106" s="51"/>
      <c r="D106" s="51"/>
      <c r="E106" s="51"/>
      <c r="F106" s="53"/>
      <c r="G106" s="53"/>
      <c r="H106" s="52"/>
      <c r="I106" s="52"/>
      <c r="J106" s="58"/>
      <c r="K106" s="51"/>
      <c r="L106" s="58"/>
      <c r="M106" s="58"/>
    </row>
    <row r="107" spans="1:13" x14ac:dyDescent="0.25">
      <c r="A107" s="629"/>
    </row>
    <row r="108" spans="1:13" ht="15.6" x14ac:dyDescent="0.3">
      <c r="A108" s="629"/>
      <c r="B108" s="86" t="s">
        <v>367</v>
      </c>
      <c r="C108" s="61"/>
      <c r="D108" s="61"/>
      <c r="E108" s="61"/>
      <c r="F108" s="1071" t="s">
        <v>114</v>
      </c>
      <c r="G108" s="1071"/>
      <c r="H108" s="1071" t="s">
        <v>113</v>
      </c>
      <c r="I108" s="1071"/>
      <c r="J108" s="1071" t="s">
        <v>243</v>
      </c>
      <c r="K108" s="1071"/>
      <c r="L108" s="63"/>
      <c r="M108" s="63"/>
    </row>
    <row r="109" spans="1:13" ht="13.8" thickBot="1" x14ac:dyDescent="0.3">
      <c r="A109" s="629"/>
      <c r="B109" s="61"/>
      <c r="C109" s="61"/>
      <c r="D109" s="61"/>
      <c r="E109" s="61"/>
      <c r="F109" s="61"/>
      <c r="G109" s="61"/>
      <c r="H109" s="62"/>
      <c r="I109" s="62"/>
      <c r="J109" s="63"/>
      <c r="K109" s="63"/>
      <c r="L109" s="63"/>
      <c r="M109" s="63"/>
    </row>
    <row r="110" spans="1:13" ht="13.8" thickBot="1" x14ac:dyDescent="0.3">
      <c r="A110" s="629"/>
      <c r="B110" s="61"/>
      <c r="C110" s="61" t="s">
        <v>368</v>
      </c>
      <c r="D110" s="63"/>
      <c r="E110" s="61"/>
      <c r="F110" s="388">
        <f>S10*'Gårdens info'!$G$17/1</f>
        <v>0</v>
      </c>
      <c r="G110" s="61" t="s">
        <v>31</v>
      </c>
      <c r="H110" s="77">
        <v>0.01</v>
      </c>
      <c r="I110" s="62" t="s">
        <v>246</v>
      </c>
      <c r="J110" s="64">
        <f>F110*H110</f>
        <v>0</v>
      </c>
      <c r="K110" s="61" t="s">
        <v>57</v>
      </c>
      <c r="L110" s="63"/>
      <c r="M110" s="63"/>
    </row>
    <row r="111" spans="1:13" ht="13.8" thickBot="1" x14ac:dyDescent="0.3">
      <c r="A111" s="629"/>
      <c r="B111" s="61"/>
      <c r="C111" s="61" t="s">
        <v>369</v>
      </c>
      <c r="D111" s="63"/>
      <c r="E111" s="61"/>
      <c r="F111" s="388">
        <f>S11*'Gårdens info'!$G$17/1</f>
        <v>0</v>
      </c>
      <c r="G111" s="61" t="s">
        <v>31</v>
      </c>
      <c r="H111" s="77">
        <v>0.01</v>
      </c>
      <c r="I111" s="62" t="s">
        <v>246</v>
      </c>
      <c r="J111" s="64">
        <f t="shared" ref="J111:J117" si="10">F111*H111</f>
        <v>0</v>
      </c>
      <c r="K111" s="61" t="s">
        <v>57</v>
      </c>
      <c r="L111" s="63"/>
      <c r="M111" s="63"/>
    </row>
    <row r="112" spans="1:13" ht="13.8" thickBot="1" x14ac:dyDescent="0.3">
      <c r="A112" s="629"/>
      <c r="B112" s="61"/>
      <c r="C112" s="61" t="s">
        <v>270</v>
      </c>
      <c r="D112" s="63"/>
      <c r="E112" s="61"/>
      <c r="F112" s="388">
        <f>S12*'Gårdens info'!$G$17/1</f>
        <v>0</v>
      </c>
      <c r="G112" s="61" t="s">
        <v>31</v>
      </c>
      <c r="H112" s="77">
        <v>0.01</v>
      </c>
      <c r="I112" s="62" t="s">
        <v>246</v>
      </c>
      <c r="J112" s="64">
        <f t="shared" si="10"/>
        <v>0</v>
      </c>
      <c r="K112" s="61" t="s">
        <v>57</v>
      </c>
      <c r="L112" s="63"/>
      <c r="M112" s="63"/>
    </row>
    <row r="113" spans="1:21" ht="13.8" thickBot="1" x14ac:dyDescent="0.3">
      <c r="A113" s="629"/>
      <c r="B113" s="61"/>
      <c r="C113" s="61" t="s">
        <v>271</v>
      </c>
      <c r="D113" s="63"/>
      <c r="E113" s="61"/>
      <c r="F113" s="388">
        <f>S13*'Gårdens info'!$G$17/1</f>
        <v>0</v>
      </c>
      <c r="G113" s="61" t="s">
        <v>31</v>
      </c>
      <c r="H113" s="77">
        <v>0.05</v>
      </c>
      <c r="I113" s="62" t="s">
        <v>246</v>
      </c>
      <c r="J113" s="64">
        <f t="shared" si="10"/>
        <v>0</v>
      </c>
      <c r="K113" s="61" t="s">
        <v>57</v>
      </c>
      <c r="L113" s="63"/>
      <c r="M113" s="63"/>
    </row>
    <row r="114" spans="1:21" ht="13.8" thickBot="1" x14ac:dyDescent="0.3">
      <c r="A114" s="629"/>
      <c r="B114" s="61"/>
      <c r="C114" s="77" t="s">
        <v>523</v>
      </c>
      <c r="D114" s="77"/>
      <c r="E114" s="61" t="s">
        <v>212</v>
      </c>
      <c r="F114" s="388">
        <f>IF(S14&gt;0,S14*'Gårdens info'!$G$17/D114,0)</f>
        <v>0</v>
      </c>
      <c r="G114" s="61" t="s">
        <v>31</v>
      </c>
      <c r="H114" s="77"/>
      <c r="I114" s="62" t="s">
        <v>246</v>
      </c>
      <c r="J114" s="64">
        <f t="shared" ref="J114:J115" si="11">F114*H114</f>
        <v>0</v>
      </c>
      <c r="K114" s="61" t="s">
        <v>57</v>
      </c>
      <c r="L114" s="63"/>
      <c r="M114" s="63"/>
    </row>
    <row r="115" spans="1:21" ht="13.8" thickBot="1" x14ac:dyDescent="0.3">
      <c r="A115" s="629"/>
      <c r="B115" s="61"/>
      <c r="C115" s="77" t="s">
        <v>523</v>
      </c>
      <c r="D115" s="77"/>
      <c r="E115" s="61" t="s">
        <v>212</v>
      </c>
      <c r="F115" s="388">
        <f>IF(S15&gt;0,S15*'Gårdens info'!$G$17/D115,0)</f>
        <v>0</v>
      </c>
      <c r="G115" s="61" t="s">
        <v>31</v>
      </c>
      <c r="H115" s="77"/>
      <c r="I115" s="62" t="s">
        <v>246</v>
      </c>
      <c r="J115" s="64">
        <f t="shared" si="11"/>
        <v>0</v>
      </c>
      <c r="K115" s="61" t="s">
        <v>57</v>
      </c>
      <c r="L115" s="63"/>
      <c r="M115" s="63"/>
    </row>
    <row r="116" spans="1:21" ht="13.8" thickBot="1" x14ac:dyDescent="0.3">
      <c r="A116" s="629"/>
      <c r="B116" s="61"/>
      <c r="C116" s="77" t="s">
        <v>523</v>
      </c>
      <c r="D116" s="77"/>
      <c r="E116" s="61" t="s">
        <v>212</v>
      </c>
      <c r="F116" s="388">
        <f>IF(S16&gt;0,S16*'Gårdens info'!$G$17/D116,0)</f>
        <v>0</v>
      </c>
      <c r="G116" s="61" t="s">
        <v>31</v>
      </c>
      <c r="H116" s="77"/>
      <c r="I116" s="62" t="s">
        <v>246</v>
      </c>
      <c r="J116" s="64">
        <f t="shared" si="10"/>
        <v>0</v>
      </c>
      <c r="K116" s="61" t="s">
        <v>57</v>
      </c>
      <c r="L116" s="63"/>
      <c r="M116" s="63"/>
    </row>
    <row r="117" spans="1:21" ht="13.8" thickBot="1" x14ac:dyDescent="0.3">
      <c r="A117" s="629"/>
      <c r="B117" s="61"/>
      <c r="C117" s="77" t="s">
        <v>523</v>
      </c>
      <c r="D117" s="77"/>
      <c r="E117" s="61" t="s">
        <v>212</v>
      </c>
      <c r="F117" s="388">
        <f>IF(S17&gt;0,S17*'Gårdens info'!$G$17/D117,0)</f>
        <v>0</v>
      </c>
      <c r="G117" s="61" t="s">
        <v>31</v>
      </c>
      <c r="H117" s="77"/>
      <c r="I117" s="62" t="s">
        <v>246</v>
      </c>
      <c r="J117" s="64">
        <f t="shared" si="10"/>
        <v>0</v>
      </c>
      <c r="K117" s="61" t="s">
        <v>57</v>
      </c>
      <c r="L117" s="63"/>
      <c r="M117" s="63"/>
    </row>
    <row r="118" spans="1:21" x14ac:dyDescent="0.25">
      <c r="A118" s="629"/>
      <c r="B118" s="198"/>
      <c r="C118" s="198" t="s">
        <v>54</v>
      </c>
      <c r="D118" s="198"/>
      <c r="E118" s="198"/>
      <c r="F118" s="198"/>
      <c r="G118" s="198"/>
      <c r="H118" s="199"/>
      <c r="I118" s="199"/>
      <c r="J118" s="200">
        <f>SUM(J110:J117)</f>
        <v>0</v>
      </c>
      <c r="K118" s="198" t="s">
        <v>57</v>
      </c>
      <c r="L118" s="198"/>
      <c r="M118" s="198"/>
    </row>
    <row r="119" spans="1:21" x14ac:dyDescent="0.25">
      <c r="A119" s="629"/>
      <c r="B119" s="61"/>
      <c r="C119" s="61"/>
      <c r="D119" s="61"/>
      <c r="E119" s="61"/>
      <c r="F119" s="61"/>
      <c r="G119" s="61"/>
      <c r="H119" s="62"/>
      <c r="I119" s="62"/>
      <c r="J119" s="64"/>
      <c r="K119" s="61"/>
      <c r="L119" s="63"/>
      <c r="M119" s="63"/>
    </row>
    <row r="120" spans="1:21" x14ac:dyDescent="0.25">
      <c r="A120" s="629"/>
    </row>
    <row r="121" spans="1:21" s="5" customFormat="1" ht="15.6" x14ac:dyDescent="0.3">
      <c r="A121" s="630"/>
      <c r="B121" s="87" t="s">
        <v>273</v>
      </c>
      <c r="C121" s="65"/>
      <c r="D121" s="65"/>
      <c r="E121" s="65"/>
      <c r="F121" s="1072" t="s">
        <v>114</v>
      </c>
      <c r="G121" s="1072"/>
      <c r="H121" s="1072" t="s">
        <v>113</v>
      </c>
      <c r="I121" s="1072"/>
      <c r="J121" s="1072" t="s">
        <v>243</v>
      </c>
      <c r="K121" s="1072"/>
      <c r="L121" s="67"/>
      <c r="M121" s="67"/>
      <c r="N121"/>
      <c r="O121"/>
      <c r="P121"/>
      <c r="Q121"/>
      <c r="R121"/>
      <c r="S121"/>
      <c r="T121"/>
      <c r="U121"/>
    </row>
    <row r="122" spans="1:21" ht="13.8" thickBot="1" x14ac:dyDescent="0.3">
      <c r="A122" s="629"/>
      <c r="B122" s="65"/>
      <c r="C122" s="65"/>
      <c r="D122" s="65"/>
      <c r="E122" s="65"/>
      <c r="F122" s="65"/>
      <c r="G122" s="65"/>
      <c r="H122" s="66"/>
      <c r="I122" s="66"/>
      <c r="J122" s="67"/>
      <c r="K122" s="67"/>
      <c r="L122" s="67"/>
      <c r="M122" s="67"/>
    </row>
    <row r="123" spans="1:21" ht="13.8" thickBot="1" x14ac:dyDescent="0.3">
      <c r="A123" s="629"/>
      <c r="B123" s="65"/>
      <c r="C123" s="65" t="s">
        <v>222</v>
      </c>
      <c r="D123" s="67"/>
      <c r="E123" s="65"/>
      <c r="F123" s="74">
        <f>'Gårdens info'!G17*'Gårdens info'!D17*0.9</f>
        <v>0</v>
      </c>
      <c r="G123" s="65" t="s">
        <v>212</v>
      </c>
      <c r="H123" s="77">
        <v>0.02</v>
      </c>
      <c r="I123" s="66" t="s">
        <v>206</v>
      </c>
      <c r="J123" s="68">
        <f t="shared" ref="J123:J125" si="12">F123*H123</f>
        <v>0</v>
      </c>
      <c r="K123" s="65" t="s">
        <v>57</v>
      </c>
      <c r="L123" s="67"/>
      <c r="M123" s="67"/>
      <c r="N123" s="5"/>
      <c r="O123" s="5"/>
      <c r="P123" s="5"/>
      <c r="Q123" s="5"/>
      <c r="R123" s="5"/>
      <c r="S123" s="5"/>
      <c r="T123" s="5"/>
      <c r="U123" s="5"/>
    </row>
    <row r="124" spans="1:21" ht="13.8" thickBot="1" x14ac:dyDescent="0.3">
      <c r="A124" s="629"/>
      <c r="B124" s="65"/>
      <c r="C124" s="65" t="s">
        <v>372</v>
      </c>
      <c r="D124" s="65"/>
      <c r="E124" s="65"/>
      <c r="F124" s="74"/>
      <c r="G124" s="65" t="s">
        <v>212</v>
      </c>
      <c r="H124" s="77"/>
      <c r="I124" s="66" t="s">
        <v>206</v>
      </c>
      <c r="J124" s="68">
        <f t="shared" si="12"/>
        <v>0</v>
      </c>
      <c r="K124" s="65" t="s">
        <v>57</v>
      </c>
      <c r="L124" s="67"/>
      <c r="M124" s="67"/>
    </row>
    <row r="125" spans="1:21" ht="13.8" thickBot="1" x14ac:dyDescent="0.3">
      <c r="A125" s="629"/>
      <c r="B125" s="65"/>
      <c r="C125" s="65" t="s">
        <v>372</v>
      </c>
      <c r="D125" s="65"/>
      <c r="E125" s="65"/>
      <c r="F125" s="74"/>
      <c r="G125" s="65" t="s">
        <v>212</v>
      </c>
      <c r="H125" s="77"/>
      <c r="I125" s="66" t="s">
        <v>206</v>
      </c>
      <c r="J125" s="68">
        <f t="shared" si="12"/>
        <v>0</v>
      </c>
      <c r="K125" s="65" t="s">
        <v>57</v>
      </c>
      <c r="L125" s="67"/>
      <c r="M125" s="67"/>
    </row>
    <row r="126" spans="1:21" x14ac:dyDescent="0.25">
      <c r="A126" s="629"/>
      <c r="B126" s="201"/>
      <c r="C126" s="201" t="s">
        <v>54</v>
      </c>
      <c r="D126" s="201"/>
      <c r="E126" s="201"/>
      <c r="F126" s="201"/>
      <c r="G126" s="201"/>
      <c r="H126" s="202"/>
      <c r="I126" s="202"/>
      <c r="J126" s="203">
        <f>SUM(J123:J125)</f>
        <v>0</v>
      </c>
      <c r="K126" s="201" t="s">
        <v>57</v>
      </c>
      <c r="L126" s="201"/>
      <c r="M126" s="201"/>
    </row>
    <row r="127" spans="1:21" x14ac:dyDescent="0.25">
      <c r="A127" s="629"/>
      <c r="B127" s="65"/>
      <c r="C127" s="65"/>
      <c r="D127" s="65"/>
      <c r="E127" s="65"/>
      <c r="F127" s="65"/>
      <c r="G127" s="65"/>
      <c r="H127" s="66"/>
      <c r="I127" s="66"/>
      <c r="J127" s="68"/>
      <c r="K127" s="65"/>
      <c r="L127" s="67"/>
      <c r="M127" s="67"/>
    </row>
    <row r="128" spans="1:21" x14ac:dyDescent="0.25">
      <c r="A128" s="629"/>
    </row>
    <row r="129" spans="1:21" ht="15.6" x14ac:dyDescent="0.3">
      <c r="A129" s="629"/>
      <c r="B129" s="176" t="s">
        <v>275</v>
      </c>
      <c r="C129" s="177"/>
      <c r="D129" s="177"/>
      <c r="E129" s="177"/>
      <c r="F129" s="1067" t="s">
        <v>114</v>
      </c>
      <c r="G129" s="1067"/>
      <c r="H129" s="1067" t="s">
        <v>113</v>
      </c>
      <c r="I129" s="1067"/>
      <c r="J129" s="1067" t="s">
        <v>243</v>
      </c>
      <c r="K129" s="1067"/>
      <c r="L129" s="179"/>
      <c r="M129" s="179"/>
    </row>
    <row r="130" spans="1:21" ht="13.8" thickBot="1" x14ac:dyDescent="0.3">
      <c r="A130" s="629"/>
      <c r="B130" s="177"/>
      <c r="C130" s="177"/>
      <c r="D130" s="177"/>
      <c r="E130" s="177"/>
      <c r="F130" s="177"/>
      <c r="G130" s="177"/>
      <c r="H130" s="178"/>
      <c r="I130" s="178"/>
      <c r="J130" s="179"/>
      <c r="K130" s="179"/>
      <c r="L130" s="179"/>
      <c r="M130" s="179"/>
    </row>
    <row r="131" spans="1:21" ht="13.8" thickBot="1" x14ac:dyDescent="0.3">
      <c r="A131" s="629"/>
      <c r="B131" s="177"/>
      <c r="C131" s="177" t="s">
        <v>276</v>
      </c>
      <c r="D131" s="179"/>
      <c r="E131" s="177"/>
      <c r="F131" s="74"/>
      <c r="G131" s="177" t="s">
        <v>7</v>
      </c>
      <c r="H131" s="77"/>
      <c r="I131" s="178" t="s">
        <v>57</v>
      </c>
      <c r="J131" s="180">
        <f t="shared" ref="J131:J133" si="13">F131*H131</f>
        <v>0</v>
      </c>
      <c r="K131" s="177" t="s">
        <v>57</v>
      </c>
      <c r="L131" s="179"/>
      <c r="M131" s="179"/>
    </row>
    <row r="132" spans="1:21" ht="13.8" thickBot="1" x14ac:dyDescent="0.3">
      <c r="B132" s="177"/>
      <c r="C132" s="177" t="s">
        <v>276</v>
      </c>
      <c r="D132" s="177"/>
      <c r="E132" s="177"/>
      <c r="F132" s="74"/>
      <c r="G132" s="177" t="s">
        <v>7</v>
      </c>
      <c r="H132" s="77"/>
      <c r="I132" s="178" t="s">
        <v>57</v>
      </c>
      <c r="J132" s="180">
        <f t="shared" si="13"/>
        <v>0</v>
      </c>
      <c r="K132" s="177" t="s">
        <v>57</v>
      </c>
      <c r="L132" s="179"/>
      <c r="M132" s="179"/>
    </row>
    <row r="133" spans="1:21" ht="13.8" thickBot="1" x14ac:dyDescent="0.3">
      <c r="B133" s="177"/>
      <c r="C133" s="177" t="s">
        <v>276</v>
      </c>
      <c r="D133" s="177"/>
      <c r="E133" s="177"/>
      <c r="F133" s="74"/>
      <c r="G133" s="177" t="s">
        <v>7</v>
      </c>
      <c r="H133" s="77"/>
      <c r="I133" s="178" t="s">
        <v>57</v>
      </c>
      <c r="J133" s="180">
        <f t="shared" si="13"/>
        <v>0</v>
      </c>
      <c r="K133" s="177" t="s">
        <v>57</v>
      </c>
      <c r="L133" s="179"/>
      <c r="M133" s="179"/>
    </row>
    <row r="134" spans="1:21" s="5" customFormat="1" x14ac:dyDescent="0.25">
      <c r="A134" s="624"/>
      <c r="B134" s="204"/>
      <c r="C134" s="204" t="s">
        <v>54</v>
      </c>
      <c r="D134" s="204"/>
      <c r="E134" s="204"/>
      <c r="F134" s="204"/>
      <c r="G134" s="204"/>
      <c r="H134" s="205"/>
      <c r="I134" s="205"/>
      <c r="J134" s="206">
        <f>SUM(J131:J133)</f>
        <v>0</v>
      </c>
      <c r="K134" s="204" t="s">
        <v>57</v>
      </c>
      <c r="L134" s="204"/>
      <c r="M134" s="204"/>
      <c r="N134"/>
      <c r="O134"/>
      <c r="P134"/>
      <c r="Q134"/>
      <c r="R134"/>
      <c r="S134"/>
      <c r="T134"/>
      <c r="U134"/>
    </row>
    <row r="135" spans="1:21" x14ac:dyDescent="0.25">
      <c r="B135" s="177"/>
      <c r="C135" s="177"/>
      <c r="D135" s="177"/>
      <c r="E135" s="177"/>
      <c r="F135" s="177"/>
      <c r="G135" s="177"/>
      <c r="H135" s="178"/>
      <c r="I135" s="178"/>
      <c r="J135" s="180"/>
      <c r="K135" s="177"/>
      <c r="L135" s="179"/>
      <c r="M135" s="179"/>
    </row>
    <row r="136" spans="1:21" ht="30" customHeight="1" x14ac:dyDescent="0.25">
      <c r="N136" s="5"/>
      <c r="O136" s="5"/>
      <c r="P136" s="5"/>
      <c r="Q136" s="5"/>
      <c r="R136" s="5"/>
      <c r="S136" s="5"/>
      <c r="T136" s="5"/>
      <c r="U136" s="5"/>
    </row>
    <row r="137" spans="1:21" ht="15.6" x14ac:dyDescent="0.3">
      <c r="B137" s="181" t="s">
        <v>490</v>
      </c>
      <c r="C137" s="182"/>
      <c r="D137" s="182"/>
      <c r="E137" s="183"/>
      <c r="F137" s="182" t="s">
        <v>114</v>
      </c>
      <c r="G137" s="184"/>
      <c r="H137" s="184" t="s">
        <v>113</v>
      </c>
      <c r="I137" s="182"/>
      <c r="J137" s="182" t="s">
        <v>243</v>
      </c>
      <c r="K137" s="185"/>
      <c r="L137" s="185"/>
      <c r="M137" s="185"/>
    </row>
    <row r="138" spans="1:21" ht="16.2" thickBot="1" x14ac:dyDescent="0.35">
      <c r="B138" s="181"/>
      <c r="C138" s="182"/>
      <c r="D138" s="182"/>
      <c r="E138" s="183"/>
      <c r="F138" s="182"/>
      <c r="G138" s="184"/>
      <c r="H138" s="184"/>
      <c r="I138" s="182"/>
      <c r="J138" s="182"/>
      <c r="K138" s="185"/>
      <c r="L138" s="185"/>
      <c r="M138" s="185"/>
    </row>
    <row r="139" spans="1:21" ht="13.8" thickBot="1" x14ac:dyDescent="0.3">
      <c r="B139" s="182"/>
      <c r="C139" s="182" t="s">
        <v>278</v>
      </c>
      <c r="D139" s="185"/>
      <c r="E139" s="186"/>
      <c r="F139" s="74">
        <v>10500</v>
      </c>
      <c r="G139" s="187" t="s">
        <v>279</v>
      </c>
      <c r="H139" s="74">
        <v>0.15</v>
      </c>
      <c r="I139" s="188" t="s">
        <v>280</v>
      </c>
      <c r="J139" s="185">
        <f>H139*F139</f>
        <v>1575</v>
      </c>
      <c r="K139" s="188" t="s">
        <v>57</v>
      </c>
      <c r="L139" s="185"/>
      <c r="M139" s="185"/>
    </row>
    <row r="140" spans="1:21" ht="13.8" thickBot="1" x14ac:dyDescent="0.3">
      <c r="B140" s="182"/>
      <c r="C140" s="182" t="s">
        <v>281</v>
      </c>
      <c r="D140" s="188">
        <f>F173/2</f>
        <v>74.5</v>
      </c>
      <c r="E140" s="182" t="s">
        <v>282</v>
      </c>
      <c r="F140" s="74">
        <f>+D140*8</f>
        <v>596</v>
      </c>
      <c r="G140" s="184" t="s">
        <v>256</v>
      </c>
      <c r="H140" s="74">
        <v>0.83</v>
      </c>
      <c r="I140" s="188" t="s">
        <v>257</v>
      </c>
      <c r="J140" s="185">
        <f>H140*F140</f>
        <v>494.67999999999995</v>
      </c>
      <c r="K140" s="188" t="s">
        <v>57</v>
      </c>
      <c r="L140" s="185"/>
      <c r="M140" s="185"/>
    </row>
    <row r="141" spans="1:21" ht="13.8" thickBot="1" x14ac:dyDescent="0.3">
      <c r="B141" s="182"/>
      <c r="C141" s="182" t="s">
        <v>283</v>
      </c>
      <c r="D141" s="188">
        <f>D140</f>
        <v>74.5</v>
      </c>
      <c r="E141" s="182" t="s">
        <v>282</v>
      </c>
      <c r="F141" s="74">
        <v>11.88</v>
      </c>
      <c r="G141" s="184" t="s">
        <v>212</v>
      </c>
      <c r="H141" s="74">
        <v>4</v>
      </c>
      <c r="I141" s="188" t="s">
        <v>206</v>
      </c>
      <c r="J141" s="185">
        <f t="shared" ref="J141:J145" si="14">H141*F141</f>
        <v>47.52</v>
      </c>
      <c r="K141" s="188" t="s">
        <v>57</v>
      </c>
      <c r="L141" s="185"/>
      <c r="M141" s="185"/>
    </row>
    <row r="142" spans="1:21" ht="13.8" thickBot="1" x14ac:dyDescent="0.3">
      <c r="B142" s="182"/>
      <c r="C142" s="182" t="s">
        <v>284</v>
      </c>
      <c r="D142" s="185"/>
      <c r="E142" s="188"/>
      <c r="F142" s="74">
        <v>200</v>
      </c>
      <c r="G142" s="184" t="s">
        <v>256</v>
      </c>
      <c r="H142" s="74">
        <v>1.53</v>
      </c>
      <c r="I142" s="188" t="s">
        <v>257</v>
      </c>
      <c r="J142" s="185">
        <f t="shared" si="14"/>
        <v>306</v>
      </c>
      <c r="K142" s="188" t="s">
        <v>57</v>
      </c>
      <c r="L142" s="185"/>
      <c r="M142" s="185"/>
    </row>
    <row r="143" spans="1:21" ht="13.8" thickBot="1" x14ac:dyDescent="0.3">
      <c r="B143" s="182"/>
      <c r="C143" s="182" t="s">
        <v>285</v>
      </c>
      <c r="D143" s="185"/>
      <c r="E143" s="188"/>
      <c r="F143" s="74"/>
      <c r="G143" s="184" t="s">
        <v>256</v>
      </c>
      <c r="H143" s="74"/>
      <c r="I143" s="188" t="s">
        <v>257</v>
      </c>
      <c r="J143" s="185">
        <f t="shared" si="14"/>
        <v>0</v>
      </c>
      <c r="K143" s="188" t="s">
        <v>57</v>
      </c>
      <c r="L143" s="185"/>
      <c r="M143" s="185"/>
    </row>
    <row r="144" spans="1:21" ht="13.8" thickBot="1" x14ac:dyDescent="0.3">
      <c r="B144" s="182"/>
      <c r="C144" s="182" t="s">
        <v>286</v>
      </c>
      <c r="D144" s="185"/>
      <c r="E144" s="188"/>
      <c r="F144" s="74"/>
      <c r="G144" s="184"/>
      <c r="H144" s="74"/>
      <c r="I144" s="188"/>
      <c r="J144" s="185">
        <f t="shared" si="14"/>
        <v>0</v>
      </c>
      <c r="K144" s="188" t="s">
        <v>57</v>
      </c>
      <c r="L144" s="185"/>
      <c r="M144" s="185"/>
    </row>
    <row r="145" spans="1:21" ht="13.8" thickBot="1" x14ac:dyDescent="0.3">
      <c r="B145" s="185"/>
      <c r="C145" s="182" t="s">
        <v>286</v>
      </c>
      <c r="D145" s="185"/>
      <c r="E145" s="185"/>
      <c r="F145" s="74"/>
      <c r="G145" s="185"/>
      <c r="H145" s="74"/>
      <c r="I145" s="185"/>
      <c r="J145" s="185">
        <f t="shared" si="14"/>
        <v>0</v>
      </c>
      <c r="K145" s="188" t="s">
        <v>57</v>
      </c>
      <c r="L145" s="185"/>
      <c r="M145" s="185"/>
    </row>
    <row r="146" spans="1:21" s="5" customFormat="1" x14ac:dyDescent="0.25">
      <c r="A146" s="624"/>
      <c r="B146" s="207"/>
      <c r="C146" s="207" t="s">
        <v>54</v>
      </c>
      <c r="D146" s="207"/>
      <c r="E146" s="207"/>
      <c r="F146" s="207"/>
      <c r="G146" s="207"/>
      <c r="H146" s="207"/>
      <c r="I146" s="207"/>
      <c r="J146" s="207">
        <f>SUM(J139:J145)</f>
        <v>2423.1999999999998</v>
      </c>
      <c r="K146" s="208" t="s">
        <v>57</v>
      </c>
      <c r="L146" s="207"/>
      <c r="M146" s="207"/>
    </row>
    <row r="147" spans="1:21" x14ac:dyDescent="0.25">
      <c r="B147" s="185"/>
      <c r="C147" s="185"/>
      <c r="D147" s="185"/>
      <c r="E147" s="185"/>
      <c r="F147" s="185"/>
      <c r="G147" s="185"/>
      <c r="H147" s="185"/>
      <c r="I147" s="185"/>
      <c r="J147" s="185"/>
      <c r="K147" s="185"/>
      <c r="L147" s="185"/>
      <c r="M147" s="185"/>
    </row>
    <row r="149" spans="1:21" ht="15.6" x14ac:dyDescent="0.3">
      <c r="B149" s="88" t="s">
        <v>287</v>
      </c>
      <c r="C149" s="79"/>
      <c r="D149" s="79"/>
      <c r="E149" s="79"/>
      <c r="F149" s="79"/>
      <c r="G149" s="79"/>
      <c r="H149" s="79"/>
      <c r="I149" s="79"/>
      <c r="J149" s="79"/>
      <c r="K149" s="79"/>
      <c r="L149" s="79"/>
      <c r="M149" s="79"/>
    </row>
    <row r="150" spans="1:21" ht="15.6" x14ac:dyDescent="0.3">
      <c r="B150" s="88"/>
      <c r="C150" s="79"/>
      <c r="D150" s="79"/>
      <c r="E150" s="79"/>
      <c r="F150" s="79"/>
      <c r="G150" s="79"/>
      <c r="H150" s="79"/>
      <c r="I150" s="79"/>
      <c r="J150" s="79"/>
      <c r="K150" s="79"/>
      <c r="L150" s="79"/>
      <c r="M150" s="79"/>
    </row>
    <row r="151" spans="1:21" ht="15" customHeight="1" x14ac:dyDescent="0.25">
      <c r="B151" s="1112" t="s">
        <v>499</v>
      </c>
      <c r="C151" s="1112"/>
      <c r="D151" s="1112"/>
      <c r="E151" s="1112"/>
      <c r="F151" s="1112"/>
      <c r="G151" s="1112"/>
      <c r="H151" s="1112"/>
      <c r="I151" s="1112"/>
      <c r="J151" s="1112"/>
      <c r="K151" s="1112"/>
      <c r="L151" s="1112"/>
      <c r="M151" s="1112"/>
    </row>
    <row r="152" spans="1:21" s="5" customFormat="1" x14ac:dyDescent="0.25">
      <c r="A152" s="624"/>
      <c r="B152" s="1112"/>
      <c r="C152" s="1112"/>
      <c r="D152" s="1112"/>
      <c r="E152" s="1112"/>
      <c r="F152" s="1112"/>
      <c r="G152" s="1112"/>
      <c r="H152" s="1112"/>
      <c r="I152" s="1112"/>
      <c r="J152" s="1112"/>
      <c r="K152" s="1112"/>
      <c r="L152" s="1112"/>
      <c r="M152" s="1112"/>
      <c r="N152"/>
      <c r="O152"/>
      <c r="P152"/>
      <c r="Q152"/>
      <c r="R152"/>
      <c r="S152"/>
      <c r="T152"/>
      <c r="U152"/>
    </row>
    <row r="153" spans="1:21" ht="15.6" x14ac:dyDescent="0.3">
      <c r="B153" s="88"/>
      <c r="C153" s="79"/>
      <c r="D153" s="79"/>
      <c r="E153" s="1069" t="s">
        <v>290</v>
      </c>
      <c r="F153" s="1069"/>
      <c r="G153" s="1069"/>
      <c r="H153" s="1070" t="s">
        <v>113</v>
      </c>
      <c r="I153" s="1070"/>
      <c r="J153" s="1069" t="s">
        <v>291</v>
      </c>
      <c r="K153" s="1069"/>
      <c r="L153" s="1070" t="s">
        <v>113</v>
      </c>
      <c r="M153" s="1070"/>
    </row>
    <row r="154" spans="1:21" ht="33" customHeight="1" thickBot="1" x14ac:dyDescent="0.3">
      <c r="B154" s="78"/>
      <c r="C154" s="79"/>
      <c r="D154" s="79"/>
      <c r="E154" s="79"/>
      <c r="F154" s="79"/>
      <c r="G154" s="79"/>
      <c r="H154" s="79"/>
      <c r="I154" s="79"/>
      <c r="J154" s="79"/>
      <c r="K154" s="79"/>
      <c r="L154" s="79"/>
      <c r="M154" s="79"/>
      <c r="N154" s="5"/>
      <c r="O154" s="5"/>
      <c r="P154" s="5"/>
      <c r="Q154" s="5"/>
      <c r="R154" s="5"/>
      <c r="S154" s="5"/>
      <c r="T154" s="5"/>
      <c r="U154" s="5"/>
    </row>
    <row r="155" spans="1:21" ht="13.8" thickBot="1" x14ac:dyDescent="0.3">
      <c r="B155" s="79"/>
      <c r="C155" s="80" t="s">
        <v>292</v>
      </c>
      <c r="D155" s="79"/>
      <c r="E155" s="79"/>
      <c r="F155" s="91">
        <v>2</v>
      </c>
      <c r="G155" s="82" t="s">
        <v>293</v>
      </c>
      <c r="H155" s="93">
        <v>14.5</v>
      </c>
      <c r="I155" s="82" t="s">
        <v>294</v>
      </c>
      <c r="J155" s="92"/>
      <c r="K155" s="82" t="s">
        <v>293</v>
      </c>
      <c r="L155" s="93">
        <v>14.5</v>
      </c>
      <c r="M155" s="82" t="s">
        <v>294</v>
      </c>
    </row>
    <row r="156" spans="1:21" ht="13.8" thickBot="1" x14ac:dyDescent="0.3">
      <c r="B156" s="79"/>
      <c r="C156" s="80" t="s">
        <v>524</v>
      </c>
      <c r="D156" s="79"/>
      <c r="E156" s="79"/>
      <c r="F156" s="91">
        <v>4</v>
      </c>
      <c r="G156" s="82" t="s">
        <v>293</v>
      </c>
      <c r="H156" s="90">
        <f>H155</f>
        <v>14.5</v>
      </c>
      <c r="I156" s="82" t="s">
        <v>294</v>
      </c>
      <c r="J156" s="92"/>
      <c r="K156" s="82" t="s">
        <v>293</v>
      </c>
      <c r="L156" s="90">
        <f>L155</f>
        <v>14.5</v>
      </c>
      <c r="M156" s="82" t="s">
        <v>294</v>
      </c>
    </row>
    <row r="157" spans="1:21" ht="13.8" thickBot="1" x14ac:dyDescent="0.3">
      <c r="B157" s="79"/>
      <c r="C157" s="80" t="s">
        <v>535</v>
      </c>
      <c r="D157" s="79"/>
      <c r="E157" s="79"/>
      <c r="F157" s="91">
        <v>6</v>
      </c>
      <c r="G157" s="82" t="s">
        <v>293</v>
      </c>
      <c r="H157" s="90">
        <f t="shared" ref="H157:H172" si="15">H156</f>
        <v>14.5</v>
      </c>
      <c r="I157" s="82" t="s">
        <v>294</v>
      </c>
      <c r="J157" s="92"/>
      <c r="K157" s="82" t="s">
        <v>293</v>
      </c>
      <c r="L157" s="90">
        <f t="shared" ref="L157:L172" si="16">L156</f>
        <v>14.5</v>
      </c>
      <c r="M157" s="82" t="s">
        <v>294</v>
      </c>
    </row>
    <row r="158" spans="1:21" ht="13.8" thickBot="1" x14ac:dyDescent="0.3">
      <c r="B158" s="79"/>
      <c r="C158" s="80" t="s">
        <v>536</v>
      </c>
      <c r="D158" s="79"/>
      <c r="E158" s="79"/>
      <c r="F158" s="91">
        <v>4</v>
      </c>
      <c r="G158" s="82" t="s">
        <v>293</v>
      </c>
      <c r="H158" s="90">
        <f t="shared" si="15"/>
        <v>14.5</v>
      </c>
      <c r="I158" s="82" t="s">
        <v>294</v>
      </c>
      <c r="J158" s="92"/>
      <c r="K158" s="82" t="s">
        <v>293</v>
      </c>
      <c r="L158" s="90">
        <f t="shared" si="16"/>
        <v>14.5</v>
      </c>
      <c r="M158" s="82" t="s">
        <v>294</v>
      </c>
    </row>
    <row r="159" spans="1:21" ht="13.8" thickBot="1" x14ac:dyDescent="0.3">
      <c r="B159" s="79"/>
      <c r="C159" s="80" t="s">
        <v>381</v>
      </c>
      <c r="D159" s="79"/>
      <c r="E159" s="79"/>
      <c r="F159" s="91">
        <v>5</v>
      </c>
      <c r="G159" s="82" t="s">
        <v>293</v>
      </c>
      <c r="H159" s="90">
        <f t="shared" si="15"/>
        <v>14.5</v>
      </c>
      <c r="I159" s="82" t="s">
        <v>294</v>
      </c>
      <c r="J159" s="92"/>
      <c r="K159" s="82" t="s">
        <v>293</v>
      </c>
      <c r="L159" s="90">
        <f t="shared" si="16"/>
        <v>14.5</v>
      </c>
      <c r="M159" s="82" t="s">
        <v>294</v>
      </c>
    </row>
    <row r="160" spans="1:21" ht="13.8" thickBot="1" x14ac:dyDescent="0.3">
      <c r="B160" s="79"/>
      <c r="C160" s="80" t="s">
        <v>501</v>
      </c>
      <c r="D160" s="79"/>
      <c r="E160" s="79"/>
      <c r="F160" s="91">
        <v>8</v>
      </c>
      <c r="G160" s="82" t="s">
        <v>293</v>
      </c>
      <c r="H160" s="90">
        <f t="shared" si="15"/>
        <v>14.5</v>
      </c>
      <c r="I160" s="82" t="s">
        <v>294</v>
      </c>
      <c r="J160" s="92"/>
      <c r="K160" s="82" t="s">
        <v>293</v>
      </c>
      <c r="L160" s="90">
        <f t="shared" si="16"/>
        <v>14.5</v>
      </c>
      <c r="M160" s="82" t="s">
        <v>294</v>
      </c>
    </row>
    <row r="161" spans="1:21" ht="13.8" thickBot="1" x14ac:dyDescent="0.3">
      <c r="B161" s="79"/>
      <c r="C161" s="80" t="s">
        <v>502</v>
      </c>
      <c r="D161" s="79"/>
      <c r="E161" s="79"/>
      <c r="F161" s="91">
        <v>4</v>
      </c>
      <c r="G161" s="82" t="s">
        <v>293</v>
      </c>
      <c r="H161" s="90">
        <f t="shared" si="15"/>
        <v>14.5</v>
      </c>
      <c r="I161" s="82" t="s">
        <v>294</v>
      </c>
      <c r="J161" s="92"/>
      <c r="K161" s="82" t="s">
        <v>293</v>
      </c>
      <c r="L161" s="90">
        <f t="shared" si="16"/>
        <v>14.5</v>
      </c>
      <c r="M161" s="82" t="s">
        <v>294</v>
      </c>
    </row>
    <row r="162" spans="1:21" s="5" customFormat="1" ht="13.8" thickBot="1" x14ac:dyDescent="0.3">
      <c r="A162" s="624"/>
      <c r="B162" s="79"/>
      <c r="C162" s="80" t="s">
        <v>503</v>
      </c>
      <c r="D162" s="79"/>
      <c r="E162" s="79"/>
      <c r="F162" s="91">
        <v>20</v>
      </c>
      <c r="G162" s="82" t="s">
        <v>293</v>
      </c>
      <c r="H162" s="90">
        <f t="shared" si="15"/>
        <v>14.5</v>
      </c>
      <c r="I162" s="82" t="s">
        <v>294</v>
      </c>
      <c r="J162" s="92"/>
      <c r="K162" s="82" t="s">
        <v>293</v>
      </c>
      <c r="L162" s="90">
        <f t="shared" si="16"/>
        <v>14.5</v>
      </c>
      <c r="M162" s="82" t="s">
        <v>294</v>
      </c>
      <c r="N162"/>
      <c r="O162"/>
      <c r="P162"/>
      <c r="R162"/>
      <c r="S162"/>
      <c r="T162"/>
      <c r="U162"/>
    </row>
    <row r="163" spans="1:21" ht="13.8" thickBot="1" x14ac:dyDescent="0.3">
      <c r="B163" s="79"/>
      <c r="C163" s="80" t="s">
        <v>504</v>
      </c>
      <c r="D163" s="79"/>
      <c r="E163" s="79"/>
      <c r="F163" s="91">
        <v>4</v>
      </c>
      <c r="G163" s="82" t="s">
        <v>293</v>
      </c>
      <c r="H163" s="90">
        <f t="shared" si="15"/>
        <v>14.5</v>
      </c>
      <c r="I163" s="82" t="s">
        <v>294</v>
      </c>
      <c r="J163" s="92"/>
      <c r="K163" s="82" t="s">
        <v>293</v>
      </c>
      <c r="L163" s="90">
        <f t="shared" si="16"/>
        <v>14.5</v>
      </c>
      <c r="M163" s="82" t="s">
        <v>294</v>
      </c>
    </row>
    <row r="164" spans="1:21" ht="13.8" thickBot="1" x14ac:dyDescent="0.3">
      <c r="B164" s="79"/>
      <c r="C164" s="80" t="s">
        <v>526</v>
      </c>
      <c r="D164" s="79"/>
      <c r="E164" s="79"/>
      <c r="F164" s="91">
        <v>4</v>
      </c>
      <c r="G164" s="82" t="s">
        <v>293</v>
      </c>
      <c r="H164" s="90">
        <f t="shared" si="15"/>
        <v>14.5</v>
      </c>
      <c r="I164" s="82" t="s">
        <v>294</v>
      </c>
      <c r="J164" s="92"/>
      <c r="K164" s="82" t="s">
        <v>293</v>
      </c>
      <c r="L164" s="90">
        <f t="shared" si="16"/>
        <v>14.5</v>
      </c>
      <c r="M164" s="82" t="s">
        <v>294</v>
      </c>
      <c r="N164" s="5"/>
      <c r="O164" s="5"/>
      <c r="P164" s="5"/>
      <c r="Q164" s="809"/>
      <c r="R164" s="5"/>
      <c r="S164" s="5"/>
      <c r="T164" s="5"/>
      <c r="U164" s="5"/>
    </row>
    <row r="165" spans="1:21" ht="13.8" thickBot="1" x14ac:dyDescent="0.3">
      <c r="B165" s="79"/>
      <c r="C165" s="80" t="s">
        <v>303</v>
      </c>
      <c r="D165" s="79"/>
      <c r="E165" s="79"/>
      <c r="F165" s="91">
        <v>8</v>
      </c>
      <c r="G165" s="82" t="s">
        <v>293</v>
      </c>
      <c r="H165" s="90">
        <f t="shared" si="15"/>
        <v>14.5</v>
      </c>
      <c r="I165" s="82" t="s">
        <v>294</v>
      </c>
      <c r="J165" s="92"/>
      <c r="K165" s="82" t="s">
        <v>293</v>
      </c>
      <c r="L165" s="90">
        <f t="shared" si="16"/>
        <v>14.5</v>
      </c>
      <c r="M165" s="82" t="s">
        <v>294</v>
      </c>
      <c r="Q165" s="809"/>
    </row>
    <row r="166" spans="1:21" ht="13.8" thickBot="1" x14ac:dyDescent="0.3">
      <c r="B166" s="79"/>
      <c r="C166" s="80" t="s">
        <v>38</v>
      </c>
      <c r="D166" s="79"/>
      <c r="E166" s="79"/>
      <c r="F166" s="91">
        <v>20</v>
      </c>
      <c r="G166" s="82" t="s">
        <v>293</v>
      </c>
      <c r="H166" s="90">
        <f t="shared" si="15"/>
        <v>14.5</v>
      </c>
      <c r="I166" s="82" t="s">
        <v>294</v>
      </c>
      <c r="J166" s="92">
        <v>20</v>
      </c>
      <c r="K166" s="82" t="s">
        <v>293</v>
      </c>
      <c r="L166" s="90">
        <f t="shared" si="16"/>
        <v>14.5</v>
      </c>
      <c r="M166" s="82" t="s">
        <v>294</v>
      </c>
      <c r="Q166" s="809"/>
    </row>
    <row r="167" spans="1:21" ht="13.8" thickBot="1" x14ac:dyDescent="0.3">
      <c r="B167" s="79"/>
      <c r="C167" s="80" t="s">
        <v>458</v>
      </c>
      <c r="D167" s="79"/>
      <c r="E167" s="79"/>
      <c r="F167" s="91">
        <v>10</v>
      </c>
      <c r="G167" s="82" t="s">
        <v>293</v>
      </c>
      <c r="H167" s="90">
        <f t="shared" si="15"/>
        <v>14.5</v>
      </c>
      <c r="I167" s="82" t="s">
        <v>294</v>
      </c>
      <c r="J167" s="92"/>
      <c r="K167" s="82" t="s">
        <v>293</v>
      </c>
      <c r="L167" s="90">
        <f t="shared" si="16"/>
        <v>14.5</v>
      </c>
      <c r="M167" s="82" t="s">
        <v>294</v>
      </c>
    </row>
    <row r="168" spans="1:21" ht="13.8" thickBot="1" x14ac:dyDescent="0.3">
      <c r="B168" s="79"/>
      <c r="C168" s="80" t="s">
        <v>306</v>
      </c>
      <c r="D168" s="79"/>
      <c r="E168" s="79"/>
      <c r="F168" s="92">
        <v>40</v>
      </c>
      <c r="G168" s="82" t="s">
        <v>293</v>
      </c>
      <c r="H168" s="90">
        <f t="shared" si="15"/>
        <v>14.5</v>
      </c>
      <c r="I168" s="82" t="s">
        <v>294</v>
      </c>
      <c r="J168" s="92">
        <v>40</v>
      </c>
      <c r="K168" s="82" t="s">
        <v>293</v>
      </c>
      <c r="L168" s="90">
        <f t="shared" si="16"/>
        <v>14.5</v>
      </c>
      <c r="M168" s="82" t="s">
        <v>294</v>
      </c>
    </row>
    <row r="169" spans="1:21" ht="13.8" thickBot="1" x14ac:dyDescent="0.3">
      <c r="B169" s="79"/>
      <c r="C169" s="80" t="s">
        <v>307</v>
      </c>
      <c r="D169" s="79"/>
      <c r="E169" s="79"/>
      <c r="F169" s="92">
        <v>10</v>
      </c>
      <c r="G169" s="82" t="s">
        <v>293</v>
      </c>
      <c r="H169" s="90">
        <f t="shared" si="15"/>
        <v>14.5</v>
      </c>
      <c r="I169" s="82" t="s">
        <v>294</v>
      </c>
      <c r="J169" s="92"/>
      <c r="K169" s="82" t="s">
        <v>293</v>
      </c>
      <c r="L169" s="90">
        <f t="shared" si="16"/>
        <v>14.5</v>
      </c>
      <c r="M169" s="82" t="s">
        <v>294</v>
      </c>
    </row>
    <row r="170" spans="1:21" ht="13.8" thickBot="1" x14ac:dyDescent="0.3">
      <c r="B170" s="79"/>
      <c r="C170" s="80" t="s">
        <v>308</v>
      </c>
      <c r="D170" s="79"/>
      <c r="E170" s="79"/>
      <c r="F170" s="92"/>
      <c r="G170" s="82" t="s">
        <v>293</v>
      </c>
      <c r="H170" s="90">
        <f t="shared" si="15"/>
        <v>14.5</v>
      </c>
      <c r="I170" s="82" t="s">
        <v>294</v>
      </c>
      <c r="J170" s="75"/>
      <c r="K170" s="82" t="s">
        <v>293</v>
      </c>
      <c r="L170" s="90">
        <f t="shared" si="16"/>
        <v>14.5</v>
      </c>
      <c r="M170" s="82" t="s">
        <v>294</v>
      </c>
    </row>
    <row r="171" spans="1:21" ht="13.8" thickBot="1" x14ac:dyDescent="0.3">
      <c r="B171" s="79"/>
      <c r="C171" s="80" t="s">
        <v>308</v>
      </c>
      <c r="D171" s="79"/>
      <c r="E171" s="79"/>
      <c r="F171" s="92"/>
      <c r="G171" s="82" t="s">
        <v>293</v>
      </c>
      <c r="H171" s="90">
        <f t="shared" si="15"/>
        <v>14.5</v>
      </c>
      <c r="I171" s="82" t="s">
        <v>294</v>
      </c>
      <c r="J171" s="75"/>
      <c r="K171" s="82" t="s">
        <v>293</v>
      </c>
      <c r="L171" s="90">
        <f t="shared" si="16"/>
        <v>14.5</v>
      </c>
      <c r="M171" s="82" t="s">
        <v>294</v>
      </c>
    </row>
    <row r="172" spans="1:21" ht="13.8" thickBot="1" x14ac:dyDescent="0.3">
      <c r="B172" s="79"/>
      <c r="C172" s="80" t="s">
        <v>308</v>
      </c>
      <c r="D172" s="81"/>
      <c r="E172" s="81"/>
      <c r="F172" s="75"/>
      <c r="G172" s="82" t="s">
        <v>293</v>
      </c>
      <c r="H172" s="90">
        <f t="shared" si="15"/>
        <v>14.5</v>
      </c>
      <c r="I172" s="82" t="s">
        <v>294</v>
      </c>
      <c r="J172" s="75"/>
      <c r="K172" s="82" t="s">
        <v>293</v>
      </c>
      <c r="L172" s="90">
        <f t="shared" si="16"/>
        <v>14.5</v>
      </c>
      <c r="M172" s="82" t="s">
        <v>294</v>
      </c>
    </row>
    <row r="173" spans="1:21" x14ac:dyDescent="0.25">
      <c r="B173" s="209"/>
      <c r="C173" s="210" t="s">
        <v>54</v>
      </c>
      <c r="D173" s="211"/>
      <c r="E173" s="211"/>
      <c r="F173" s="212">
        <f>SUM(F155:F172)</f>
        <v>149</v>
      </c>
      <c r="G173" s="209" t="s">
        <v>293</v>
      </c>
      <c r="H173" s="213">
        <f>F173*H155</f>
        <v>2160.5</v>
      </c>
      <c r="I173" s="209" t="s">
        <v>57</v>
      </c>
      <c r="J173" s="212">
        <f>SUM(J155:J172)</f>
        <v>60</v>
      </c>
      <c r="K173" s="209" t="s">
        <v>293</v>
      </c>
      <c r="L173" s="213">
        <f>J173*L155</f>
        <v>870</v>
      </c>
      <c r="M173" s="209" t="s">
        <v>57</v>
      </c>
    </row>
    <row r="175" spans="1:21" ht="40.200000000000003" customHeight="1" x14ac:dyDescent="0.25">
      <c r="N175" s="5"/>
      <c r="O175" s="5"/>
      <c r="P175" s="5"/>
      <c r="Q175" s="5"/>
      <c r="R175" s="5"/>
      <c r="S175" s="5"/>
      <c r="T175" s="5"/>
      <c r="U175" s="5"/>
    </row>
    <row r="178" spans="1:21" ht="37.950000000000003" customHeight="1" x14ac:dyDescent="0.25"/>
    <row r="190" spans="1:21" s="5" customFormat="1" x14ac:dyDescent="0.25">
      <c r="A190" s="624"/>
      <c r="B190"/>
      <c r="C190"/>
      <c r="D190"/>
      <c r="E190"/>
      <c r="F190"/>
      <c r="G190"/>
      <c r="H190"/>
      <c r="I190"/>
      <c r="J190"/>
      <c r="K190"/>
      <c r="L190"/>
      <c r="M190"/>
      <c r="N190"/>
      <c r="O190"/>
      <c r="P190"/>
      <c r="Q190"/>
      <c r="R190"/>
      <c r="S190"/>
      <c r="T190"/>
      <c r="U190"/>
    </row>
    <row r="192" spans="1:21" x14ac:dyDescent="0.25">
      <c r="N192" s="5"/>
      <c r="O192" s="5"/>
      <c r="P192" s="5"/>
      <c r="Q192" s="5"/>
      <c r="R192" s="5"/>
      <c r="S192" s="5"/>
      <c r="T192" s="5"/>
      <c r="U192" s="5"/>
    </row>
  </sheetData>
  <mergeCells count="45">
    <mergeCell ref="L153:M153"/>
    <mergeCell ref="B151:M152"/>
    <mergeCell ref="F108:G108"/>
    <mergeCell ref="H108:I108"/>
    <mergeCell ref="J108:K108"/>
    <mergeCell ref="F121:G121"/>
    <mergeCell ref="H121:I121"/>
    <mergeCell ref="J121:K121"/>
    <mergeCell ref="F129:G129"/>
    <mergeCell ref="H129:I129"/>
    <mergeCell ref="J129:K129"/>
    <mergeCell ref="E153:G153"/>
    <mergeCell ref="H153:I153"/>
    <mergeCell ref="J153:K153"/>
    <mergeCell ref="L69:M69"/>
    <mergeCell ref="F76:G76"/>
    <mergeCell ref="H76:I76"/>
    <mergeCell ref="J76:K76"/>
    <mergeCell ref="F87:G87"/>
    <mergeCell ref="H87:I87"/>
    <mergeCell ref="J87:K87"/>
    <mergeCell ref="F71:G71"/>
    <mergeCell ref="H71:I71"/>
    <mergeCell ref="J71:K71"/>
    <mergeCell ref="B57:D57"/>
    <mergeCell ref="B64:D64"/>
    <mergeCell ref="B66:D66"/>
    <mergeCell ref="B69:E69"/>
    <mergeCell ref="B38:D38"/>
    <mergeCell ref="C41:D41"/>
    <mergeCell ref="B45:D45"/>
    <mergeCell ref="C48:D48"/>
    <mergeCell ref="B52:C52"/>
    <mergeCell ref="C55:D55"/>
    <mergeCell ref="B2:C2"/>
    <mergeCell ref="O9:Q9"/>
    <mergeCell ref="T9:U9"/>
    <mergeCell ref="B11:D11"/>
    <mergeCell ref="O18:Q18"/>
    <mergeCell ref="B4:M5"/>
    <mergeCell ref="B26:E26"/>
    <mergeCell ref="B27:E27"/>
    <mergeCell ref="B28:D28"/>
    <mergeCell ref="B31:C31"/>
    <mergeCell ref="C34:D34"/>
  </mergeCells>
  <hyperlinks>
    <hyperlink ref="B2" location="Tilakokonaisuus!A1" display="PALAA ETUSIVULLE" xr:uid="{27F05634-ED50-DC4F-8931-6F5E6B3D88C6}"/>
    <hyperlink ref="B2:C2" location="'Gårdens info'!A1" display="TILL FRAMSIDAN" xr:uid="{4060D314-8781-D243-ACC3-D00380142149}"/>
    <hyperlink ref="B26:E26" location="'Gårdens info'!C97" display="ALMÄNNA KOSTNADER, grönsakens andel" xr:uid="{25DCB9E7-BBFC-8B40-9B79-891AEE828C5F}"/>
    <hyperlink ref="B31:C31" location="Omaisuus!B15" display="RAKENNUKSET" xr:uid="{BB9A245D-9F90-5B41-827D-D40DBFD92258}"/>
    <hyperlink ref="B38:D38" location="Omaisuus!B28" display="KONEET JA KALUSTO" xr:uid="{27A6A637-1A79-984D-B45B-115AB2AF8552}"/>
    <hyperlink ref="B45:D45" location="Omaisuus!B51" display="PIDEMPIAIKAISET TUOTANTOVÄLINEET" xr:uid="{6C1053B4-0958-194E-A35F-0DFA8410547B}"/>
    <hyperlink ref="B52:C52" location="Omaisuus!B70" display="SALAOJAT" xr:uid="{2B10312C-F84F-C646-8AA1-DFF8832C2449}"/>
    <hyperlink ref="L69" location="'Avomaan mansikka'!B2" display="PALAA SIVUN YLÄLAITAAN" xr:uid="{3161D5DA-0DF8-6543-BF6E-D6DE34549278}"/>
    <hyperlink ref="L69:M69" location="'Grönsak från frö 1'!A1" display="TILL SIDANS BÖRJAN" xr:uid="{CE484AF1-990F-9E45-808A-75959D9C156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E6D86-DFA1-354C-9185-76DA1029A8BB}">
  <sheetPr>
    <tabColor theme="6" tint="0.59999389629810485"/>
  </sheetPr>
  <dimension ref="A1:AC192"/>
  <sheetViews>
    <sheetView zoomScale="83" workbookViewId="0">
      <selection activeCell="B6" sqref="B6"/>
    </sheetView>
  </sheetViews>
  <sheetFormatPr defaultColWidth="11.44140625" defaultRowHeight="13.2" x14ac:dyDescent="0.25"/>
  <cols>
    <col min="1" max="1" width="5.33203125" style="46"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7.6640625" customWidth="1"/>
    <col min="16" max="16" width="4.44140625" customWidth="1"/>
    <col min="17" max="17" width="15" customWidth="1"/>
    <col min="18" max="18" width="5.109375" customWidth="1"/>
    <col min="19" max="19" width="18.33203125" bestFit="1" customWidth="1"/>
  </cols>
  <sheetData>
    <row r="1" spans="1:21" s="46" customFormat="1" ht="22.8" x14ac:dyDescent="0.4">
      <c r="B1" s="623" t="s">
        <v>17</v>
      </c>
    </row>
    <row r="2" spans="1:21" ht="27" customHeight="1" x14ac:dyDescent="0.3">
      <c r="B2" s="1094" t="s">
        <v>201</v>
      </c>
      <c r="C2" s="1094"/>
      <c r="F2" s="69"/>
      <c r="G2" s="69"/>
      <c r="H2" s="69"/>
    </row>
    <row r="3" spans="1:21" ht="27" customHeight="1" x14ac:dyDescent="0.3">
      <c r="B3" s="189"/>
      <c r="C3" s="189"/>
    </row>
    <row r="4" spans="1:21" ht="17.399999999999999" customHeight="1" x14ac:dyDescent="0.25">
      <c r="B4" s="1113" t="s">
        <v>375</v>
      </c>
      <c r="C4" s="1113"/>
      <c r="D4" s="1113"/>
      <c r="E4" s="1113"/>
      <c r="F4" s="1113"/>
      <c r="G4" s="1113"/>
      <c r="H4" s="1113"/>
      <c r="I4" s="1113"/>
      <c r="J4" s="1113"/>
      <c r="K4" s="1113"/>
      <c r="L4" s="1113"/>
    </row>
    <row r="5" spans="1:21" ht="27" customHeight="1" thickBot="1" x14ac:dyDescent="0.3">
      <c r="B5" s="1114"/>
      <c r="C5" s="1114"/>
      <c r="D5" s="1114"/>
      <c r="E5" s="1114"/>
      <c r="F5" s="1114"/>
      <c r="G5" s="1114"/>
      <c r="H5" s="1114"/>
      <c r="I5" s="1114"/>
      <c r="J5" s="1114"/>
      <c r="K5" s="1114"/>
      <c r="L5" s="1114"/>
    </row>
    <row r="6" spans="1:21" ht="27" customHeight="1" x14ac:dyDescent="0.4">
      <c r="B6" s="256" t="s">
        <v>537</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IF('Gårdens info'!D18&gt;0,H9*'Gårdens info'!G18,0)</f>
        <v>0</v>
      </c>
      <c r="G9" s="119" t="s">
        <v>57</v>
      </c>
      <c r="H9" s="508">
        <f>IF('Gårdens info'!G18&gt;0,(('Gårdens info'!D18*'Gårdens info'!G18*S10*T10)+('Gårdens info'!D18*'Gårdens info'!G18*S11*T11)+('Gårdens info'!D18*'Gårdens info'!G18*S12*T12)+('Gårdens info'!D18*'Gårdens info'!G18*S13*T13)+('Gårdens info'!D18*'Gårdens info'!G18*S14*T14)+('Gårdens info'!D18*'Gårdens info'!G18*S15*T15)+('Gårdens info'!D18*'Gårdens info'!G18*S16*T16)+('Gårdens info'!D18*'Gårdens info'!G18*S17*T17))/(('Gårdens info'!D18*'Gårdens info'!G18)),0)</f>
        <v>0</v>
      </c>
      <c r="I9" s="119" t="s">
        <v>206</v>
      </c>
      <c r="J9" s="229">
        <f>F9*'Gårdens info'!D18</f>
        <v>0</v>
      </c>
      <c r="K9" s="119" t="s">
        <v>529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info'!D18&gt;0,Stöd!L15,0)</f>
        <v>0</v>
      </c>
      <c r="G10" s="119" t="s">
        <v>57</v>
      </c>
      <c r="H10" s="508">
        <f>IF('Gårdens info'!G18&gt;0,F10/'Gårdens info'!G18,0)</f>
        <v>0</v>
      </c>
      <c r="I10" s="119" t="s">
        <v>206</v>
      </c>
      <c r="J10" s="229">
        <f>F10*'Gårdens info'!D18</f>
        <v>0</v>
      </c>
      <c r="K10" s="119" t="s">
        <v>529</v>
      </c>
      <c r="L10" s="119"/>
      <c r="M10" s="226"/>
      <c r="N10" s="369"/>
      <c r="O10" s="119">
        <v>1</v>
      </c>
      <c r="P10" s="119" t="s">
        <v>212</v>
      </c>
      <c r="Q10" s="119" t="s">
        <v>213</v>
      </c>
      <c r="R10" s="119"/>
      <c r="S10" s="377">
        <v>0.4</v>
      </c>
      <c r="T10" s="255">
        <v>0.9</v>
      </c>
      <c r="U10" s="239" t="s">
        <v>206</v>
      </c>
    </row>
    <row r="11" spans="1:21" s="5" customFormat="1" ht="21.6" thickBot="1" x14ac:dyDescent="0.45">
      <c r="A11" s="50"/>
      <c r="B11" s="1061" t="s">
        <v>214</v>
      </c>
      <c r="C11" s="1043"/>
      <c r="D11" s="1043"/>
      <c r="E11" s="262"/>
      <c r="F11" s="266">
        <f>F9+F10</f>
        <v>0</v>
      </c>
      <c r="G11" s="267" t="s">
        <v>57</v>
      </c>
      <c r="H11" s="507">
        <f>H9+H10</f>
        <v>0</v>
      </c>
      <c r="I11" s="267" t="s">
        <v>206</v>
      </c>
      <c r="J11" s="269">
        <f>J9+J10</f>
        <v>0</v>
      </c>
      <c r="K11" s="267" t="s">
        <v>529</v>
      </c>
      <c r="L11" s="267"/>
      <c r="M11" s="259"/>
      <c r="N11" s="370"/>
      <c r="O11" s="119">
        <v>0.25</v>
      </c>
      <c r="P11" s="119" t="s">
        <v>212</v>
      </c>
      <c r="Q11" s="119" t="s">
        <v>333</v>
      </c>
      <c r="R11" s="119"/>
      <c r="S11" s="379">
        <v>0</v>
      </c>
      <c r="T11" s="255"/>
      <c r="U11" s="239" t="s">
        <v>206</v>
      </c>
    </row>
    <row r="12" spans="1:21" s="5" customFormat="1" ht="21.6" thickBot="1" x14ac:dyDescent="0.45">
      <c r="A12" s="50"/>
      <c r="B12" s="288"/>
      <c r="C12" s="270"/>
      <c r="D12" s="270"/>
      <c r="E12" s="262"/>
      <c r="F12" s="266"/>
      <c r="G12" s="267"/>
      <c r="H12" s="268"/>
      <c r="I12" s="267"/>
      <c r="J12" s="269"/>
      <c r="K12" s="267"/>
      <c r="L12" s="267"/>
      <c r="M12" s="259"/>
      <c r="N12" s="370"/>
      <c r="O12" s="119">
        <v>0.5</v>
      </c>
      <c r="P12" s="119" t="s">
        <v>212</v>
      </c>
      <c r="Q12" s="119" t="s">
        <v>213</v>
      </c>
      <c r="R12" s="119"/>
      <c r="S12" s="379">
        <v>0.4</v>
      </c>
      <c r="T12" s="255">
        <v>0.92</v>
      </c>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0.2</v>
      </c>
      <c r="T13" s="255">
        <v>0.88</v>
      </c>
      <c r="U13" s="239" t="s">
        <v>206</v>
      </c>
    </row>
    <row r="14" spans="1:21" ht="21.6" thickBot="1" x14ac:dyDescent="0.45">
      <c r="B14" s="257" t="s">
        <v>186</v>
      </c>
      <c r="C14" s="225"/>
      <c r="D14" s="116"/>
      <c r="E14" s="116"/>
      <c r="F14" s="116"/>
      <c r="G14" s="116"/>
      <c r="H14" s="116"/>
      <c r="I14" s="116"/>
      <c r="J14" s="232"/>
      <c r="K14" s="116"/>
      <c r="L14" s="116"/>
      <c r="M14" s="226"/>
      <c r="N14" s="369"/>
      <c r="O14" s="651">
        <f>D114</f>
        <v>0</v>
      </c>
      <c r="P14" s="119" t="s">
        <v>212</v>
      </c>
      <c r="Q14" s="298" t="s">
        <v>511</v>
      </c>
      <c r="R14" s="119"/>
      <c r="S14" s="379">
        <v>0</v>
      </c>
      <c r="T14" s="255"/>
      <c r="U14" s="239" t="s">
        <v>206</v>
      </c>
    </row>
    <row r="15" spans="1:21" s="56" customFormat="1" ht="16.95" customHeight="1" thickBot="1" x14ac:dyDescent="0.35">
      <c r="A15" s="111"/>
      <c r="B15" s="493"/>
      <c r="C15" s="245"/>
      <c r="D15" s="249"/>
      <c r="E15" s="249"/>
      <c r="F15" s="250"/>
      <c r="G15" s="120"/>
      <c r="H15" s="249"/>
      <c r="I15" s="249"/>
      <c r="J15" s="249"/>
      <c r="K15" s="249"/>
      <c r="L15" s="249"/>
      <c r="M15" s="234"/>
      <c r="N15" s="369"/>
      <c r="O15" s="651">
        <f t="shared" ref="O15:O17" si="0">D115</f>
        <v>0</v>
      </c>
      <c r="P15" s="119" t="s">
        <v>212</v>
      </c>
      <c r="Q15" s="298" t="s">
        <v>511</v>
      </c>
      <c r="R15" s="119"/>
      <c r="S15" s="379">
        <v>0</v>
      </c>
      <c r="T15" s="255"/>
      <c r="U15" s="239" t="s">
        <v>206</v>
      </c>
    </row>
    <row r="16" spans="1:21" s="69" customFormat="1" ht="16.95" customHeight="1" thickBot="1" x14ac:dyDescent="0.3">
      <c r="A16" s="111"/>
      <c r="B16" s="493"/>
      <c r="C16" s="228" t="s">
        <v>218</v>
      </c>
      <c r="D16" s="236"/>
      <c r="E16" s="236"/>
      <c r="F16" s="247">
        <f>IF('Gårdens info'!D18&gt;0,J73,0)</f>
        <v>0</v>
      </c>
      <c r="G16" s="119" t="s">
        <v>57</v>
      </c>
      <c r="H16" s="503">
        <f>IF('Gårdens info'!$G$18&gt;0,F16/'Gårdens info'!$G$18,0)</f>
        <v>0</v>
      </c>
      <c r="I16" s="119" t="s">
        <v>206</v>
      </c>
      <c r="J16" s="237">
        <f>F16*'Gårdens info'!$D$18</f>
        <v>0</v>
      </c>
      <c r="K16" s="119" t="s">
        <v>529</v>
      </c>
      <c r="L16" s="236"/>
      <c r="M16" s="239"/>
      <c r="N16" s="227"/>
      <c r="O16" s="651">
        <f t="shared" si="0"/>
        <v>0</v>
      </c>
      <c r="P16" s="119" t="s">
        <v>212</v>
      </c>
      <c r="Q16" s="298" t="s">
        <v>511</v>
      </c>
      <c r="R16" s="119"/>
      <c r="S16" s="379">
        <v>0</v>
      </c>
      <c r="T16" s="255"/>
      <c r="U16" s="239" t="s">
        <v>206</v>
      </c>
    </row>
    <row r="17" spans="1:29" s="69" customFormat="1" ht="15.6" thickBot="1" x14ac:dyDescent="0.3">
      <c r="A17" s="111"/>
      <c r="B17" s="235"/>
      <c r="C17" s="228" t="s">
        <v>219</v>
      </c>
      <c r="D17" s="236"/>
      <c r="E17" s="236"/>
      <c r="F17" s="237">
        <f>IF('Gårdens info'!D18&gt;0,J84,0)</f>
        <v>0</v>
      </c>
      <c r="G17" s="119" t="s">
        <v>57</v>
      </c>
      <c r="H17" s="503">
        <f>IF('Gårdens info'!$G$18&gt;0,F17/'Gårdens info'!$G$18,0)</f>
        <v>0</v>
      </c>
      <c r="I17" s="119" t="s">
        <v>206</v>
      </c>
      <c r="J17" s="237">
        <f>F17*'Gårdens info'!$D$18</f>
        <v>0</v>
      </c>
      <c r="K17" s="119" t="s">
        <v>529</v>
      </c>
      <c r="L17" s="236"/>
      <c r="M17" s="239"/>
      <c r="N17" s="369"/>
      <c r="O17" s="651">
        <f t="shared" si="0"/>
        <v>0</v>
      </c>
      <c r="P17" s="119" t="s">
        <v>212</v>
      </c>
      <c r="Q17" s="298" t="s">
        <v>511</v>
      </c>
      <c r="R17" s="119"/>
      <c r="S17" s="379">
        <v>0</v>
      </c>
      <c r="T17" s="255"/>
      <c r="U17" s="239" t="s">
        <v>206</v>
      </c>
    </row>
    <row r="18" spans="1:29" s="69" customFormat="1" ht="17.399999999999999" x14ac:dyDescent="0.3">
      <c r="A18" s="111"/>
      <c r="B18" s="235"/>
      <c r="C18" s="228" t="s">
        <v>220</v>
      </c>
      <c r="D18" s="236"/>
      <c r="E18" s="236"/>
      <c r="F18" s="237">
        <f>IF('Gårdens info'!D18&gt;0,J105,0)</f>
        <v>0</v>
      </c>
      <c r="G18" s="119" t="s">
        <v>57</v>
      </c>
      <c r="H18" s="503">
        <f>IF('Gårdens info'!$G$18&gt;0,F18/'Gårdens info'!$G$18,0)</f>
        <v>0</v>
      </c>
      <c r="I18" s="119" t="s">
        <v>206</v>
      </c>
      <c r="J18" s="237">
        <f>F18*'Gårdens info'!$D$18</f>
        <v>0</v>
      </c>
      <c r="K18" s="119" t="s">
        <v>529</v>
      </c>
      <c r="L18" s="236"/>
      <c r="M18" s="239"/>
      <c r="N18" s="371"/>
      <c r="O18" s="1088" t="s">
        <v>54</v>
      </c>
      <c r="P18" s="1088"/>
      <c r="Q18" s="1088"/>
      <c r="R18" s="120"/>
      <c r="S18" s="375">
        <f>SUM(S10:S17)</f>
        <v>1</v>
      </c>
      <c r="T18" s="120"/>
      <c r="U18" s="234"/>
    </row>
    <row r="19" spans="1:29" s="69" customFormat="1" ht="15.6" x14ac:dyDescent="0.3">
      <c r="A19" s="111"/>
      <c r="B19" s="235"/>
      <c r="C19" s="228" t="s">
        <v>221</v>
      </c>
      <c r="D19" s="236"/>
      <c r="E19" s="236"/>
      <c r="F19" s="237">
        <f>IF('Gårdens info'!D12&gt;0,J118,0)</f>
        <v>0</v>
      </c>
      <c r="G19" s="119" t="s">
        <v>57</v>
      </c>
      <c r="H19" s="503">
        <f>IF('Gårdens info'!$G$18&gt;0,F19/'Gårdens info'!$G$18,0)</f>
        <v>0</v>
      </c>
      <c r="I19" s="119" t="s">
        <v>206</v>
      </c>
      <c r="J19" s="237">
        <f>F19*'Gårdens info'!$D$18</f>
        <v>0</v>
      </c>
      <c r="K19" s="119" t="s">
        <v>529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111"/>
      <c r="B20" s="235"/>
      <c r="C20" s="228" t="s">
        <v>222</v>
      </c>
      <c r="D20" s="236"/>
      <c r="E20" s="236"/>
      <c r="F20" s="237">
        <f>IF('Gårdens info'!D18&gt;0,122,0)</f>
        <v>0</v>
      </c>
      <c r="G20" s="119" t="s">
        <v>57</v>
      </c>
      <c r="H20" s="503">
        <f>IF('Gårdens info'!$G$18&gt;0,F20/'Gårdens info'!$G$18,0)</f>
        <v>0</v>
      </c>
      <c r="I20" s="119" t="s">
        <v>206</v>
      </c>
      <c r="J20" s="237">
        <f>F20*'Gårdens info'!$D$18</f>
        <v>0</v>
      </c>
      <c r="K20" s="119" t="s">
        <v>529</v>
      </c>
      <c r="L20" s="236"/>
      <c r="M20" s="239"/>
      <c r="N20" s="372"/>
      <c r="O20" s="373"/>
      <c r="P20" s="373"/>
      <c r="Q20" s="373"/>
      <c r="R20" s="373"/>
      <c r="S20" s="373"/>
      <c r="T20" s="373"/>
      <c r="U20" s="374"/>
    </row>
    <row r="21" spans="1:29" s="69" customFormat="1" ht="15" x14ac:dyDescent="0.25">
      <c r="A21" s="111"/>
      <c r="B21" s="235"/>
      <c r="C21" s="228" t="s">
        <v>223</v>
      </c>
      <c r="D21" s="236"/>
      <c r="E21" s="236"/>
      <c r="F21" s="237">
        <f>IF('Gårdens info'!D18&gt;0,J134,0)</f>
        <v>0</v>
      </c>
      <c r="G21" s="119" t="s">
        <v>57</v>
      </c>
      <c r="H21" s="503">
        <f>IF('Gårdens info'!$G$18&gt;0,F21/'Gårdens info'!$G$18,0)</f>
        <v>0</v>
      </c>
      <c r="I21" s="119" t="s">
        <v>206</v>
      </c>
      <c r="J21" s="237">
        <f>F21*'Gårdens info'!$D$18</f>
        <v>0</v>
      </c>
      <c r="K21" s="119" t="s">
        <v>529</v>
      </c>
      <c r="L21" s="236"/>
      <c r="M21" s="239"/>
    </row>
    <row r="22" spans="1:29" s="69" customFormat="1" ht="15" x14ac:dyDescent="0.25">
      <c r="A22" s="111"/>
      <c r="B22" s="235"/>
      <c r="C22" s="228" t="s">
        <v>224</v>
      </c>
      <c r="D22" s="236"/>
      <c r="E22" s="236"/>
      <c r="F22" s="237">
        <f>IF('Gårdens info'!D18&gt;0,J146,0)</f>
        <v>0</v>
      </c>
      <c r="G22" s="119" t="s">
        <v>57</v>
      </c>
      <c r="H22" s="503">
        <f>IF('Gårdens info'!$G$18&gt;0,F22/'Gårdens info'!$G$18,0)</f>
        <v>0</v>
      </c>
      <c r="I22" s="119" t="s">
        <v>206</v>
      </c>
      <c r="J22" s="237">
        <f>F22*'Gårdens info'!$D$18</f>
        <v>0</v>
      </c>
      <c r="K22" s="119" t="s">
        <v>529</v>
      </c>
      <c r="L22" s="236"/>
      <c r="M22" s="239"/>
    </row>
    <row r="23" spans="1:29" s="69" customFormat="1" ht="15" x14ac:dyDescent="0.25">
      <c r="A23" s="111"/>
      <c r="B23" s="235"/>
      <c r="C23" s="228" t="s">
        <v>225</v>
      </c>
      <c r="D23" s="236"/>
      <c r="E23" s="236"/>
      <c r="F23" s="237">
        <f>IF('Gårdens info'!D18&gt;0,L173,0)</f>
        <v>0</v>
      </c>
      <c r="G23" s="119" t="s">
        <v>57</v>
      </c>
      <c r="H23" s="503">
        <f>IF('Gårdens info'!$G$18&gt;0,F23/'Gårdens info'!$G$18,0)</f>
        <v>0</v>
      </c>
      <c r="I23" s="119" t="s">
        <v>206</v>
      </c>
      <c r="J23" s="237">
        <f>F23*'Gårdens info'!$D$18</f>
        <v>0</v>
      </c>
      <c r="K23" s="119" t="s">
        <v>529</v>
      </c>
      <c r="L23" s="236"/>
      <c r="M23" s="239"/>
    </row>
    <row r="24" spans="1:29" ht="15.6" x14ac:dyDescent="0.3">
      <c r="B24" s="251"/>
      <c r="C24" s="240" t="s">
        <v>54</v>
      </c>
      <c r="D24" s="241"/>
      <c r="E24" s="241"/>
      <c r="F24" s="242">
        <f>SUM(F16:F23)</f>
        <v>0</v>
      </c>
      <c r="G24" s="243" t="s">
        <v>57</v>
      </c>
      <c r="H24" s="504">
        <f>SUM(H16:H23)</f>
        <v>0</v>
      </c>
      <c r="I24" s="243" t="s">
        <v>206</v>
      </c>
      <c r="J24" s="242">
        <f>SUM(J16:J23)</f>
        <v>0</v>
      </c>
      <c r="K24" s="243" t="s">
        <v>529</v>
      </c>
      <c r="L24" s="241"/>
      <c r="M24" s="252"/>
      <c r="N24" s="69"/>
      <c r="O24" s="69"/>
      <c r="P24" s="69"/>
      <c r="Q24" s="69"/>
      <c r="R24" s="69"/>
      <c r="S24" s="69"/>
      <c r="T24" s="69"/>
      <c r="U24" s="69"/>
    </row>
    <row r="25" spans="1:29" s="56" customFormat="1" ht="17.399999999999999" x14ac:dyDescent="0.3">
      <c r="A25" s="618"/>
      <c r="B25" s="231"/>
      <c r="C25" s="245"/>
      <c r="D25" s="246"/>
      <c r="E25" s="246"/>
      <c r="F25" s="247"/>
      <c r="G25" s="119"/>
      <c r="H25" s="505"/>
      <c r="I25" s="246"/>
      <c r="J25" s="246"/>
      <c r="K25" s="246"/>
      <c r="L25" s="246"/>
      <c r="M25" s="226"/>
      <c r="N25" s="69"/>
      <c r="O25" s="69"/>
      <c r="P25" s="69"/>
      <c r="R25" s="69"/>
      <c r="S25" s="69"/>
      <c r="T25" s="69"/>
      <c r="U25" s="69"/>
      <c r="AB25" s="449" t="s">
        <v>512</v>
      </c>
      <c r="AC25" s="561">
        <f>F16</f>
        <v>0</v>
      </c>
    </row>
    <row r="26" spans="1:29" s="69" customFormat="1" ht="17.399999999999999" x14ac:dyDescent="0.3">
      <c r="A26" s="111"/>
      <c r="B26" s="1089" t="s">
        <v>530</v>
      </c>
      <c r="C26" s="1090"/>
      <c r="D26" s="1090"/>
      <c r="E26" s="1090"/>
      <c r="F26" s="263">
        <f>IF('Gårdens info'!D18&gt;0,J26/'Gårdens info'!D18,0)</f>
        <v>0</v>
      </c>
      <c r="G26" s="243" t="s">
        <v>57</v>
      </c>
      <c r="H26" s="506">
        <f>IF('Gårdens info'!G18&gt;0,F26/'Gårdens info'!G18,0)</f>
        <v>0</v>
      </c>
      <c r="I26" s="243" t="s">
        <v>206</v>
      </c>
      <c r="J26" s="258">
        <f>'Gårdens info'!G163/'Gårdens info'!D43*'Gårdens info'!D18</f>
        <v>0</v>
      </c>
      <c r="K26" s="243" t="s">
        <v>529</v>
      </c>
      <c r="L26" s="265"/>
      <c r="M26" s="259"/>
      <c r="N26"/>
      <c r="O26"/>
      <c r="P26"/>
      <c r="S26"/>
      <c r="T26"/>
      <c r="U26"/>
      <c r="AB26" s="382" t="str">
        <f t="shared" ref="AB26:AB32" si="1">C17</f>
        <v>Gödsel och kalk</v>
      </c>
      <c r="AC26" s="561">
        <f t="shared" ref="AC26:AC32" si="2">F17</f>
        <v>0</v>
      </c>
    </row>
    <row r="27" spans="1:29" s="69" customFormat="1" ht="17.399999999999999" x14ac:dyDescent="0.3">
      <c r="A27" s="111"/>
      <c r="B27" s="1091" t="s">
        <v>531</v>
      </c>
      <c r="C27" s="1092"/>
      <c r="D27" s="1092"/>
      <c r="E27" s="1092"/>
      <c r="F27" s="263">
        <f>IF('Gårdens info'!D18&gt;0,J27/'Gårdens info'!D18,0)</f>
        <v>0</v>
      </c>
      <c r="G27" s="243" t="s">
        <v>57</v>
      </c>
      <c r="H27" s="506">
        <f>IF('Gårdens info'!G18&gt;0,F27/'Gårdens info'!G18,0)</f>
        <v>0</v>
      </c>
      <c r="I27" s="243" t="s">
        <v>206</v>
      </c>
      <c r="J27" s="258">
        <f>'Gårdens info'!$D$48/'Gårdens info'!$D$49*'Gårdens info'!$G$48*'Gårdens info'!D18</f>
        <v>0</v>
      </c>
      <c r="K27" s="243" t="s">
        <v>529</v>
      </c>
      <c r="L27" s="265"/>
      <c r="M27" s="259"/>
      <c r="N27" s="56"/>
      <c r="O27" s="56"/>
      <c r="P27" s="56"/>
      <c r="S27" s="56"/>
      <c r="T27" s="56"/>
      <c r="U27" s="56"/>
      <c r="AB27" s="382" t="str">
        <f t="shared" si="1"/>
        <v>IPM Växtskydd</v>
      </c>
      <c r="AC27" s="561">
        <f t="shared" si="2"/>
        <v>0</v>
      </c>
    </row>
    <row r="28" spans="1:29" s="69" customFormat="1" ht="21" customHeight="1" x14ac:dyDescent="0.4">
      <c r="A28" s="111"/>
      <c r="B28" s="1061" t="s">
        <v>189</v>
      </c>
      <c r="C28" s="1043"/>
      <c r="D28" s="1043"/>
      <c r="E28" s="262"/>
      <c r="F28" s="266">
        <f>F24+F26+F27</f>
        <v>0</v>
      </c>
      <c r="G28" s="267" t="s">
        <v>57</v>
      </c>
      <c r="H28" s="507">
        <f>H24+H26+H27</f>
        <v>0</v>
      </c>
      <c r="I28" s="267" t="s">
        <v>206</v>
      </c>
      <c r="J28" s="269">
        <f>J24+J26+J27</f>
        <v>0</v>
      </c>
      <c r="K28" s="267" t="s">
        <v>529</v>
      </c>
      <c r="L28" s="267"/>
      <c r="M28" s="259"/>
      <c r="AB28" s="382" t="str">
        <f t="shared" si="1"/>
        <v>Packningsmaterial</v>
      </c>
      <c r="AC28" s="561">
        <f t="shared" si="2"/>
        <v>0</v>
      </c>
    </row>
    <row r="29" spans="1:29" s="69" customFormat="1" ht="21" x14ac:dyDescent="0.4">
      <c r="A29" s="111"/>
      <c r="B29" s="288"/>
      <c r="C29" s="270"/>
      <c r="D29" s="270"/>
      <c r="E29" s="262"/>
      <c r="F29" s="266"/>
      <c r="G29" s="267"/>
      <c r="H29" s="268"/>
      <c r="I29" s="267"/>
      <c r="J29" s="269"/>
      <c r="K29" s="267"/>
      <c r="L29" s="267"/>
      <c r="M29" s="259"/>
      <c r="AB29" s="382" t="str">
        <f t="shared" si="1"/>
        <v>Fraktkostnader</v>
      </c>
      <c r="AC29" s="561">
        <f t="shared" si="2"/>
        <v>0</v>
      </c>
    </row>
    <row r="30" spans="1:29" s="69" customFormat="1" ht="21" x14ac:dyDescent="0.4">
      <c r="A30" s="111"/>
      <c r="B30" s="257" t="s">
        <v>532</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111"/>
      <c r="B31" s="1081" t="s">
        <v>69</v>
      </c>
      <c r="C31" s="1082"/>
      <c r="D31" s="270"/>
      <c r="E31" s="262"/>
      <c r="F31" s="266"/>
      <c r="G31" s="267"/>
      <c r="H31" s="268"/>
      <c r="I31" s="267"/>
      <c r="J31" s="269"/>
      <c r="K31" s="267"/>
      <c r="L31" s="267"/>
      <c r="M31" s="259"/>
      <c r="AB31" s="382" t="str">
        <f t="shared" si="1"/>
        <v>Energikostnader</v>
      </c>
      <c r="AC31" s="561">
        <f t="shared" si="2"/>
        <v>0</v>
      </c>
    </row>
    <row r="32" spans="1:29" s="69" customFormat="1" ht="21" x14ac:dyDescent="0.4">
      <c r="A32" s="111"/>
      <c r="B32" s="287"/>
      <c r="C32" s="941" t="s">
        <v>229</v>
      </c>
      <c r="D32" s="942"/>
      <c r="E32" s="262"/>
      <c r="F32" s="276">
        <f>IF('Gårdens info'!$D$18&gt;0,J32/'Gårdens info'!$D$18,0)</f>
        <v>0</v>
      </c>
      <c r="G32" s="119" t="s">
        <v>57</v>
      </c>
      <c r="H32" s="502">
        <f>IF('Gårdens info'!$G$18&gt;0,F32/'Gårdens info'!$G$18,0)</f>
        <v>0</v>
      </c>
      <c r="I32" s="119" t="s">
        <v>206</v>
      </c>
      <c r="J32" s="237">
        <f>Egendom!AR25</f>
        <v>0</v>
      </c>
      <c r="K32" s="119" t="s">
        <v>529</v>
      </c>
      <c r="L32" s="267"/>
      <c r="M32" s="259"/>
      <c r="AB32" s="382" t="str">
        <f t="shared" si="1"/>
        <v>Anställd arbetskraft</v>
      </c>
      <c r="AC32" s="561">
        <f t="shared" si="2"/>
        <v>0</v>
      </c>
    </row>
    <row r="33" spans="1:29" s="192" customFormat="1" ht="21" x14ac:dyDescent="0.4">
      <c r="A33" s="619"/>
      <c r="B33" s="287"/>
      <c r="C33" s="941" t="s">
        <v>230</v>
      </c>
      <c r="D33" s="942"/>
      <c r="E33" s="262"/>
      <c r="F33" s="276">
        <f>IF('Gårdens info'!$D$18&gt;0,J33/'Gårdens info'!$D$18,0)</f>
        <v>0</v>
      </c>
      <c r="G33" s="119" t="s">
        <v>57</v>
      </c>
      <c r="H33" s="502">
        <f>IF('Gårdens info'!$G$18&gt;0,F33/'Gårdens info'!$G$18,0)</f>
        <v>0</v>
      </c>
      <c r="I33" s="119" t="s">
        <v>206</v>
      </c>
      <c r="J33" s="237">
        <f>Egendom!BP25</f>
        <v>0</v>
      </c>
      <c r="K33" s="119" t="s">
        <v>529</v>
      </c>
      <c r="L33" s="267"/>
      <c r="M33" s="259"/>
      <c r="N33" s="69"/>
      <c r="O33" s="69"/>
      <c r="P33" s="69"/>
      <c r="S33" s="69"/>
      <c r="T33" s="69"/>
      <c r="U33" s="69"/>
      <c r="AB33" s="384" t="s">
        <v>538</v>
      </c>
      <c r="AC33" s="384">
        <f>F26</f>
        <v>0</v>
      </c>
    </row>
    <row r="34" spans="1:29" ht="17.399999999999999" customHeight="1" x14ac:dyDescent="0.3">
      <c r="B34" s="287"/>
      <c r="C34" s="1108" t="s">
        <v>232</v>
      </c>
      <c r="D34" s="1108"/>
      <c r="E34" s="262"/>
      <c r="F34" s="276">
        <f>IF('Gårdens info'!$D$18&gt;0,J34/'Gårdens info'!$D$18,0)</f>
        <v>0</v>
      </c>
      <c r="G34" s="119" t="s">
        <v>57</v>
      </c>
      <c r="H34" s="502">
        <f>IF('Gårdens info'!$G$18&gt;0,F34/'Gårdens info'!$G$18,0)</f>
        <v>0</v>
      </c>
      <c r="I34" s="119" t="s">
        <v>206</v>
      </c>
      <c r="J34" s="237">
        <f>Egendom!CN25</f>
        <v>0</v>
      </c>
      <c r="K34" s="119" t="s">
        <v>529</v>
      </c>
      <c r="L34" s="267"/>
      <c r="M34" s="259"/>
      <c r="N34" s="69"/>
      <c r="O34" s="69"/>
      <c r="P34" s="69"/>
      <c r="S34" s="69"/>
      <c r="T34" s="69"/>
      <c r="U34" s="69"/>
      <c r="AB34" s="382" t="s">
        <v>482</v>
      </c>
      <c r="AC34" s="384">
        <f>F27</f>
        <v>0</v>
      </c>
    </row>
    <row r="35" spans="1:29" ht="21" x14ac:dyDescent="0.4">
      <c r="B35" s="287"/>
      <c r="C35" s="941" t="s">
        <v>483</v>
      </c>
      <c r="D35" s="942"/>
      <c r="E35" s="262"/>
      <c r="F35" s="276">
        <f>IF('Gårdens info'!$D$18&gt;0,J35/'Gårdens info'!$D$18,0)</f>
        <v>0</v>
      </c>
      <c r="G35" s="119" t="s">
        <v>57</v>
      </c>
      <c r="H35" s="502">
        <f>IF('Gårdens info'!$G$18&gt;0,F35/'Gårdens info'!$G$18,0)</f>
        <v>0</v>
      </c>
      <c r="I35" s="119" t="s">
        <v>206</v>
      </c>
      <c r="J35" s="237">
        <f>Egendom!DL25</f>
        <v>0</v>
      </c>
      <c r="K35" s="119" t="s">
        <v>529</v>
      </c>
      <c r="L35" s="267"/>
      <c r="M35" s="259"/>
      <c r="N35" s="192"/>
      <c r="O35" s="192"/>
      <c r="P35" s="192"/>
      <c r="S35" s="192"/>
      <c r="T35" s="192"/>
      <c r="U35" s="192"/>
      <c r="AB35" s="382" t="s">
        <v>235</v>
      </c>
      <c r="AC35" s="385">
        <f>F36</f>
        <v>0</v>
      </c>
    </row>
    <row r="36" spans="1:29" ht="20.399999999999999" x14ac:dyDescent="0.35">
      <c r="B36" s="289"/>
      <c r="C36" s="943" t="s">
        <v>54</v>
      </c>
      <c r="D36" s="944"/>
      <c r="E36" s="262"/>
      <c r="F36" s="280">
        <f>SUM(F32:F35)</f>
        <v>0</v>
      </c>
      <c r="G36" s="119" t="s">
        <v>57</v>
      </c>
      <c r="H36" s="591">
        <f>SUM(H32:H35)</f>
        <v>0</v>
      </c>
      <c r="I36" s="119" t="s">
        <v>206</v>
      </c>
      <c r="J36" s="280">
        <f t="shared" ref="J36" si="3">SUM(J32:J35)</f>
        <v>0</v>
      </c>
      <c r="K36" s="119" t="s">
        <v>529</v>
      </c>
      <c r="L36" s="281"/>
      <c r="M36" s="259"/>
      <c r="AB36" s="382" t="s">
        <v>236</v>
      </c>
      <c r="AC36" s="386">
        <f>F43</f>
        <v>0</v>
      </c>
    </row>
    <row r="37" spans="1:29" s="69" customFormat="1" ht="21" x14ac:dyDescent="0.4">
      <c r="A37" s="111"/>
      <c r="B37" s="287"/>
      <c r="C37" s="274"/>
      <c r="D37" s="270"/>
      <c r="E37" s="262"/>
      <c r="F37" s="276"/>
      <c r="G37" s="119"/>
      <c r="H37" s="277"/>
      <c r="I37" s="119"/>
      <c r="J37" s="237"/>
      <c r="K37" s="119"/>
      <c r="L37" s="267"/>
      <c r="M37" s="259"/>
      <c r="N37"/>
      <c r="O37"/>
      <c r="P37"/>
      <c r="S37"/>
      <c r="T37"/>
      <c r="U37"/>
      <c r="AB37" s="382" t="s">
        <v>237</v>
      </c>
      <c r="AC37" s="386">
        <f>F50</f>
        <v>0</v>
      </c>
    </row>
    <row r="38" spans="1:29" s="69" customFormat="1" ht="17.399999999999999" x14ac:dyDescent="0.3">
      <c r="A38" s="111"/>
      <c r="B38" s="1081" t="s">
        <v>83</v>
      </c>
      <c r="C38" s="1082"/>
      <c r="D38" s="1082"/>
      <c r="E38" s="262"/>
      <c r="F38" s="276"/>
      <c r="G38" s="119"/>
      <c r="H38" s="277"/>
      <c r="I38" s="119"/>
      <c r="J38" s="237"/>
      <c r="K38" s="119"/>
      <c r="L38" s="267"/>
      <c r="M38" s="259"/>
      <c r="N38"/>
      <c r="O38"/>
      <c r="P38"/>
      <c r="S38"/>
      <c r="T38"/>
      <c r="U38"/>
      <c r="AB38" s="382" t="s">
        <v>141</v>
      </c>
      <c r="AC38" s="386">
        <f>F56</f>
        <v>0</v>
      </c>
    </row>
    <row r="39" spans="1:29" s="69" customFormat="1" ht="21" x14ac:dyDescent="0.4">
      <c r="A39" s="111"/>
      <c r="B39" s="287"/>
      <c r="C39" s="941" t="s">
        <v>229</v>
      </c>
      <c r="D39" s="942"/>
      <c r="E39" s="262"/>
      <c r="F39" s="276">
        <f>IF('Gårdens info'!$D$18&gt;0,J39/'Gårdens info'!$D$18,0)</f>
        <v>0</v>
      </c>
      <c r="G39" s="119" t="s">
        <v>57</v>
      </c>
      <c r="H39" s="502">
        <f>IF('Gårdens info'!$G$18&gt;0,F39/'Gårdens info'!$G$18,0)</f>
        <v>0</v>
      </c>
      <c r="I39" s="119" t="s">
        <v>206</v>
      </c>
      <c r="J39" s="237">
        <f>Egendom!AR61</f>
        <v>0</v>
      </c>
      <c r="K39" s="119" t="s">
        <v>529</v>
      </c>
      <c r="L39" s="267"/>
      <c r="M39" s="259"/>
      <c r="AB39" s="382" t="s">
        <v>192</v>
      </c>
      <c r="AC39" s="384">
        <f>F62</f>
        <v>0</v>
      </c>
    </row>
    <row r="40" spans="1:29" s="5" customFormat="1" ht="21" x14ac:dyDescent="0.4">
      <c r="A40" s="50"/>
      <c r="B40" s="287"/>
      <c r="C40" s="941" t="s">
        <v>230</v>
      </c>
      <c r="D40" s="942"/>
      <c r="E40" s="262"/>
      <c r="F40" s="276">
        <f>IF('Gårdens info'!$D$18&gt;0,J40/'Gårdens info'!$D$18,0)</f>
        <v>0</v>
      </c>
      <c r="G40" s="119" t="s">
        <v>57</v>
      </c>
      <c r="H40" s="502">
        <f>IF('Gårdens info'!$G$18&gt;0,F40/'Gårdens info'!$G$18,0)</f>
        <v>0</v>
      </c>
      <c r="I40" s="119" t="s">
        <v>206</v>
      </c>
      <c r="J40" s="237">
        <f>Egendom!BP61</f>
        <v>0</v>
      </c>
      <c r="K40" s="119" t="s">
        <v>529</v>
      </c>
      <c r="L40" s="267"/>
      <c r="M40" s="259"/>
      <c r="N40" s="69"/>
      <c r="O40" s="69"/>
      <c r="P40" s="69"/>
      <c r="Q40" s="69"/>
      <c r="R40" s="69"/>
      <c r="S40" s="69"/>
      <c r="T40" s="69"/>
      <c r="U40" s="69"/>
    </row>
    <row r="41" spans="1:29" s="5" customFormat="1" ht="17.399999999999999" customHeight="1" x14ac:dyDescent="0.3">
      <c r="A41" s="50"/>
      <c r="B41" s="287"/>
      <c r="C41" s="1108" t="s">
        <v>232</v>
      </c>
      <c r="D41" s="1108"/>
      <c r="E41" s="262"/>
      <c r="F41" s="276">
        <f>IF('Gårdens info'!$D$18&gt;0,J41/'Gårdens info'!$D$18,0)</f>
        <v>0</v>
      </c>
      <c r="G41" s="119" t="s">
        <v>57</v>
      </c>
      <c r="H41" s="502">
        <f>IF('Gårdens info'!$G$18&gt;0,F41/'Gårdens info'!$G$18,0)</f>
        <v>0</v>
      </c>
      <c r="I41" s="119" t="s">
        <v>206</v>
      </c>
      <c r="J41" s="237">
        <f>Egendom!CN61</f>
        <v>0</v>
      </c>
      <c r="K41" s="119" t="s">
        <v>529</v>
      </c>
      <c r="L41" s="267"/>
      <c r="M41" s="259"/>
      <c r="N41" s="69"/>
      <c r="O41" s="69"/>
      <c r="P41" s="69"/>
      <c r="Q41" s="69"/>
      <c r="R41" s="69"/>
      <c r="S41" s="69"/>
      <c r="T41" s="69"/>
      <c r="U41" s="69"/>
    </row>
    <row r="42" spans="1:29" s="5" customFormat="1" ht="21" x14ac:dyDescent="0.4">
      <c r="A42" s="50"/>
      <c r="B42" s="287"/>
      <c r="C42" s="941" t="s">
        <v>483</v>
      </c>
      <c r="D42" s="942"/>
      <c r="E42" s="262"/>
      <c r="F42" s="276">
        <f>IF('Gårdens info'!$D$18&gt;0,J42/'Gårdens info'!$D$18,0)</f>
        <v>0</v>
      </c>
      <c r="G42" s="119" t="s">
        <v>57</v>
      </c>
      <c r="H42" s="502">
        <f>IF('Gårdens info'!$G$18&gt;0,F42/'Gårdens info'!$G$18,0)</f>
        <v>0</v>
      </c>
      <c r="I42" s="119" t="s">
        <v>206</v>
      </c>
      <c r="J42" s="237">
        <f>Egendom!DL61</f>
        <v>0</v>
      </c>
      <c r="K42" s="119" t="s">
        <v>529</v>
      </c>
      <c r="L42" s="267"/>
      <c r="M42" s="259"/>
    </row>
    <row r="43" spans="1:29" s="5" customFormat="1" ht="20.399999999999999" x14ac:dyDescent="0.35">
      <c r="A43" s="50"/>
      <c r="B43" s="289"/>
      <c r="C43" s="943" t="s">
        <v>54</v>
      </c>
      <c r="D43" s="944"/>
      <c r="E43" s="262"/>
      <c r="F43" s="280">
        <f>SUM(F39:F42)</f>
        <v>0</v>
      </c>
      <c r="G43" s="119" t="s">
        <v>57</v>
      </c>
      <c r="H43" s="591">
        <f>SUM(H39:H42)</f>
        <v>0</v>
      </c>
      <c r="I43" s="119" t="s">
        <v>206</v>
      </c>
      <c r="J43" s="280">
        <f t="shared" ref="J43" si="4">SUM(J39:J42)</f>
        <v>0</v>
      </c>
      <c r="K43" s="119" t="s">
        <v>529</v>
      </c>
      <c r="L43" s="281"/>
      <c r="M43" s="259"/>
    </row>
    <row r="44" spans="1:29" s="5" customFormat="1" ht="21" x14ac:dyDescent="0.4">
      <c r="A44" s="50"/>
      <c r="B44" s="287"/>
      <c r="C44" s="274"/>
      <c r="D44" s="270"/>
      <c r="E44" s="262"/>
      <c r="F44" s="276"/>
      <c r="G44" s="119"/>
      <c r="H44" s="277"/>
      <c r="I44" s="119"/>
      <c r="J44" s="237"/>
      <c r="K44" s="119"/>
      <c r="L44" s="267"/>
      <c r="M44" s="259"/>
    </row>
    <row r="45" spans="1:29" s="5" customFormat="1" ht="43.2" customHeight="1" x14ac:dyDescent="0.3">
      <c r="A45" s="50"/>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info'!$D$18&gt;0,J46/'Gårdens info'!$D$18,0)</f>
        <v>0</v>
      </c>
      <c r="G46" s="119" t="s">
        <v>57</v>
      </c>
      <c r="H46" s="502">
        <f>IF('Gårdens info'!$G$18&gt;0,F46/'Gårdens info'!$G$18,0)</f>
        <v>0</v>
      </c>
      <c r="I46" s="119" t="s">
        <v>206</v>
      </c>
      <c r="J46" s="237">
        <f>Egendom!AR90</f>
        <v>0</v>
      </c>
      <c r="K46" s="119" t="s">
        <v>529</v>
      </c>
      <c r="L46" s="267"/>
      <c r="M46" s="259"/>
      <c r="N46" s="5"/>
      <c r="O46" s="5"/>
      <c r="P46" s="5"/>
      <c r="Q46" s="5"/>
      <c r="R46" s="5"/>
      <c r="S46" s="5"/>
      <c r="T46" s="5"/>
      <c r="U46" s="5"/>
    </row>
    <row r="47" spans="1:29" s="5" customFormat="1" ht="21" x14ac:dyDescent="0.4">
      <c r="A47" s="50"/>
      <c r="B47" s="287"/>
      <c r="C47" s="941" t="s">
        <v>230</v>
      </c>
      <c r="D47" s="942"/>
      <c r="E47" s="262"/>
      <c r="F47" s="276">
        <f>IF('Gårdens info'!$D$18&gt;0,J47/'Gårdens info'!$D$18,0)</f>
        <v>0</v>
      </c>
      <c r="G47" s="119" t="s">
        <v>57</v>
      </c>
      <c r="H47" s="502">
        <f>IF('Gårdens info'!$G$18&gt;0,F47/'Gårdens info'!$G$18,0)</f>
        <v>0</v>
      </c>
      <c r="I47" s="119" t="s">
        <v>206</v>
      </c>
      <c r="J47" s="237">
        <f>Egendom!BP90</f>
        <v>0</v>
      </c>
      <c r="K47" s="119" t="s">
        <v>529</v>
      </c>
      <c r="L47" s="267"/>
      <c r="M47" s="259"/>
    </row>
    <row r="48" spans="1:29" s="5" customFormat="1" ht="17.399999999999999" customHeight="1" x14ac:dyDescent="0.3">
      <c r="A48" s="50"/>
      <c r="B48" s="287"/>
      <c r="C48" s="1108" t="s">
        <v>232</v>
      </c>
      <c r="D48" s="1108"/>
      <c r="E48" s="262"/>
      <c r="F48" s="276">
        <f>IF('Gårdens info'!$D$18&gt;0,J48/'Gårdens info'!$D$18,0)</f>
        <v>0</v>
      </c>
      <c r="G48" s="119" t="s">
        <v>57</v>
      </c>
      <c r="H48" s="502">
        <f>IF('Gårdens info'!$G$18&gt;0,F48/'Gårdens info'!$G$18,0)</f>
        <v>0</v>
      </c>
      <c r="I48" s="119" t="s">
        <v>206</v>
      </c>
      <c r="J48" s="237">
        <f>Egendom!CN90</f>
        <v>0</v>
      </c>
      <c r="K48" s="119" t="s">
        <v>529</v>
      </c>
      <c r="L48" s="267"/>
      <c r="M48" s="259"/>
      <c r="N48"/>
      <c r="O48"/>
      <c r="P48"/>
      <c r="Q48"/>
      <c r="R48"/>
      <c r="S48"/>
      <c r="T48"/>
      <c r="U48"/>
    </row>
    <row r="49" spans="1:13" s="5" customFormat="1" ht="21" x14ac:dyDescent="0.4">
      <c r="A49" s="50"/>
      <c r="B49" s="287"/>
      <c r="C49" s="941" t="s">
        <v>483</v>
      </c>
      <c r="D49" s="942"/>
      <c r="E49" s="262"/>
      <c r="F49" s="276">
        <f>IF('Gårdens info'!$D$18&gt;0,J49/'Gårdens info'!$D$18,0)</f>
        <v>0</v>
      </c>
      <c r="G49" s="119" t="s">
        <v>57</v>
      </c>
      <c r="H49" s="502">
        <f>IF('Gårdens info'!$G$18&gt;0,F49/'Gårdens info'!$G$18,0)</f>
        <v>0</v>
      </c>
      <c r="I49" s="119" t="s">
        <v>206</v>
      </c>
      <c r="J49" s="237">
        <f>Egendom!DL90</f>
        <v>0</v>
      </c>
      <c r="K49" s="119" t="s">
        <v>529</v>
      </c>
      <c r="L49" s="267"/>
      <c r="M49" s="259"/>
    </row>
    <row r="50" spans="1:13" s="5" customFormat="1" ht="20.399999999999999" x14ac:dyDescent="0.35">
      <c r="A50" s="50"/>
      <c r="B50" s="289"/>
      <c r="C50" s="943" t="s">
        <v>54</v>
      </c>
      <c r="D50" s="944"/>
      <c r="E50" s="262"/>
      <c r="F50" s="280">
        <f>SUM(F46:F49)</f>
        <v>0</v>
      </c>
      <c r="G50" s="119" t="s">
        <v>57</v>
      </c>
      <c r="H50" s="591">
        <f>SUM(H46:H49)</f>
        <v>0</v>
      </c>
      <c r="I50" s="119" t="s">
        <v>206</v>
      </c>
      <c r="J50" s="280">
        <f t="shared" ref="J50" si="5">SUM(J46:J49)</f>
        <v>0</v>
      </c>
      <c r="K50" s="119" t="s">
        <v>529</v>
      </c>
      <c r="L50" s="281"/>
      <c r="M50" s="259"/>
    </row>
    <row r="51" spans="1:13" s="5" customFormat="1" ht="21" x14ac:dyDescent="0.4">
      <c r="A51" s="50"/>
      <c r="B51" s="287"/>
      <c r="C51" s="274"/>
      <c r="D51" s="270"/>
      <c r="E51" s="262"/>
      <c r="F51" s="276"/>
      <c r="G51" s="119"/>
      <c r="H51" s="277"/>
      <c r="I51" s="119"/>
      <c r="J51" s="237"/>
      <c r="K51" s="119"/>
      <c r="L51" s="267"/>
      <c r="M51" s="259"/>
    </row>
    <row r="52" spans="1:13" s="5" customFormat="1" ht="21" x14ac:dyDescent="0.4">
      <c r="A52" s="50"/>
      <c r="B52" s="1084" t="s">
        <v>139</v>
      </c>
      <c r="C52" s="1085"/>
      <c r="D52" s="270"/>
      <c r="E52" s="262"/>
      <c r="F52" s="276"/>
      <c r="G52" s="119"/>
      <c r="H52" s="277"/>
      <c r="I52" s="119"/>
      <c r="J52" s="237"/>
      <c r="K52" s="119"/>
      <c r="L52" s="267"/>
      <c r="M52" s="259"/>
    </row>
    <row r="53" spans="1:13" s="5" customFormat="1" ht="21" x14ac:dyDescent="0.4">
      <c r="A53" s="50"/>
      <c r="B53" s="287"/>
      <c r="C53" s="941" t="s">
        <v>229</v>
      </c>
      <c r="D53" s="942"/>
      <c r="E53" s="262"/>
      <c r="F53" s="276">
        <f>IF('Gårdens info'!$D$18&gt;0,J53/'Gårdens info'!$D$18,0)</f>
        <v>0</v>
      </c>
      <c r="G53" s="119" t="s">
        <v>57</v>
      </c>
      <c r="H53" s="502">
        <f>IF('Gårdens info'!$G$18&gt;0,F53/'Gårdens info'!$G$18,0)</f>
        <v>0</v>
      </c>
      <c r="I53" s="119" t="s">
        <v>206</v>
      </c>
      <c r="J53" s="237">
        <f>Egendom!AR93</f>
        <v>0</v>
      </c>
      <c r="K53" s="119" t="s">
        <v>529</v>
      </c>
      <c r="L53" s="267"/>
      <c r="M53" s="259"/>
    </row>
    <row r="54" spans="1:13" s="5" customFormat="1" ht="19.95" customHeight="1" x14ac:dyDescent="0.4">
      <c r="A54" s="50"/>
      <c r="B54" s="287"/>
      <c r="C54" s="941" t="s">
        <v>230</v>
      </c>
      <c r="D54" s="942"/>
      <c r="E54" s="262"/>
      <c r="F54" s="276">
        <f>IF('Gårdens info'!$D$18&gt;0,J54/'Gårdens info'!$D$18,0)</f>
        <v>0</v>
      </c>
      <c r="G54" s="119" t="s">
        <v>57</v>
      </c>
      <c r="H54" s="502">
        <f>IF('Gårdens info'!$G$18&gt;0,F54/'Gårdens info'!$G$18,0)</f>
        <v>0</v>
      </c>
      <c r="I54" s="119" t="s">
        <v>206</v>
      </c>
      <c r="J54" s="237">
        <f>Egendom!BP93</f>
        <v>0</v>
      </c>
      <c r="K54" s="119" t="s">
        <v>529</v>
      </c>
      <c r="L54" s="267"/>
      <c r="M54" s="259"/>
    </row>
    <row r="55" spans="1:13" s="5" customFormat="1" ht="17.399999999999999" customHeight="1" x14ac:dyDescent="0.3">
      <c r="A55" s="50"/>
      <c r="B55" s="287"/>
      <c r="C55" s="1108" t="s">
        <v>232</v>
      </c>
      <c r="D55" s="1108"/>
      <c r="E55" s="262"/>
      <c r="F55" s="276">
        <f>IF('Gårdens info'!$D$18&gt;0,J55/'Gårdens info'!$D$18,0)</f>
        <v>0</v>
      </c>
      <c r="G55" s="119" t="s">
        <v>57</v>
      </c>
      <c r="H55" s="502">
        <f>IF('Gårdens info'!$G$18&gt;0,F55/'Gårdens info'!$G$18,0)</f>
        <v>0</v>
      </c>
      <c r="I55" s="119" t="s">
        <v>206</v>
      </c>
      <c r="J55" s="237">
        <f>Egendom!CN93</f>
        <v>0</v>
      </c>
      <c r="K55" s="119" t="s">
        <v>529</v>
      </c>
      <c r="L55" s="267"/>
      <c r="M55" s="259"/>
    </row>
    <row r="56" spans="1:13" s="5" customFormat="1" ht="15.6" x14ac:dyDescent="0.3">
      <c r="A56" s="50"/>
      <c r="B56" s="286"/>
      <c r="C56" s="261" t="s">
        <v>54</v>
      </c>
      <c r="D56" s="261"/>
      <c r="E56" s="261"/>
      <c r="F56" s="280">
        <f>SUM(F53:F55)</f>
        <v>0</v>
      </c>
      <c r="G56" s="119" t="s">
        <v>57</v>
      </c>
      <c r="H56" s="591">
        <f>SUM(H53:H55)</f>
        <v>0</v>
      </c>
      <c r="I56" s="119" t="s">
        <v>206</v>
      </c>
      <c r="J56" s="280">
        <f t="shared" ref="J56" si="6">SUM(J53:J55)</f>
        <v>0</v>
      </c>
      <c r="K56" s="119" t="s">
        <v>529</v>
      </c>
      <c r="L56" s="284"/>
      <c r="M56" s="290"/>
    </row>
    <row r="57" spans="1:13" s="5" customFormat="1" ht="21" customHeight="1" x14ac:dyDescent="0.4">
      <c r="A57" s="50"/>
      <c r="B57" s="1061" t="s">
        <v>191</v>
      </c>
      <c r="C57" s="1043"/>
      <c r="D57" s="1043"/>
      <c r="E57" s="262"/>
      <c r="F57" s="266">
        <f>F36+F43+F50+F56</f>
        <v>0</v>
      </c>
      <c r="G57" s="267" t="s">
        <v>57</v>
      </c>
      <c r="H57" s="507">
        <f>H36+H43+H50+H56</f>
        <v>0</v>
      </c>
      <c r="I57" s="267" t="s">
        <v>206</v>
      </c>
      <c r="J57" s="269">
        <f>J36+J43+J50+J56</f>
        <v>0</v>
      </c>
      <c r="K57" s="267" t="s">
        <v>529</v>
      </c>
      <c r="L57" s="267"/>
      <c r="M57" s="259"/>
    </row>
    <row r="58" spans="1:13" s="5" customFormat="1" ht="15.6" x14ac:dyDescent="0.3">
      <c r="A58" s="50"/>
      <c r="B58" s="286"/>
      <c r="C58" s="262"/>
      <c r="D58" s="262"/>
      <c r="E58" s="262"/>
      <c r="F58" s="263"/>
      <c r="G58" s="243"/>
      <c r="H58" s="264"/>
      <c r="I58" s="243"/>
      <c r="J58" s="258"/>
      <c r="K58" s="243"/>
      <c r="L58" s="265"/>
      <c r="M58" s="259"/>
    </row>
    <row r="59" spans="1:13" s="5" customFormat="1" ht="21" x14ac:dyDescent="0.4">
      <c r="A59" s="50"/>
      <c r="B59" s="257" t="s">
        <v>192</v>
      </c>
      <c r="C59" s="262"/>
      <c r="D59" s="262"/>
      <c r="E59" s="262"/>
      <c r="F59" s="263"/>
      <c r="G59" s="243"/>
      <c r="H59" s="264"/>
      <c r="I59" s="243"/>
      <c r="J59" s="258"/>
      <c r="K59" s="243"/>
      <c r="L59" s="265"/>
      <c r="M59" s="259"/>
    </row>
    <row r="60" spans="1:13" s="5" customFormat="1" ht="15" x14ac:dyDescent="0.25">
      <c r="A60" s="50"/>
      <c r="B60" s="235"/>
      <c r="C60" s="228" t="s">
        <v>192</v>
      </c>
      <c r="D60" s="236"/>
      <c r="E60" s="236"/>
      <c r="F60" s="237">
        <f>IF('Gårdens info'!D18&gt;0,H173,0)</f>
        <v>0</v>
      </c>
      <c r="G60" s="119" t="s">
        <v>57</v>
      </c>
      <c r="H60" s="503">
        <f>IF('Gårdens info'!G18&gt;0,F60/'Gårdens info'!$G$18,0)</f>
        <v>0</v>
      </c>
      <c r="I60" s="119" t="s">
        <v>206</v>
      </c>
      <c r="J60" s="237">
        <f>F60*'Gårdens info'!D18</f>
        <v>0</v>
      </c>
      <c r="K60" s="119" t="s">
        <v>529</v>
      </c>
      <c r="L60" s="236"/>
      <c r="M60" s="239"/>
    </row>
    <row r="61" spans="1:13" s="5" customFormat="1" ht="17.399999999999999" x14ac:dyDescent="0.3">
      <c r="A61" s="50"/>
      <c r="B61" s="248"/>
      <c r="C61" s="245"/>
      <c r="D61" s="249"/>
      <c r="E61" s="249"/>
      <c r="F61" s="250"/>
      <c r="G61" s="120"/>
      <c r="H61" s="249"/>
      <c r="I61" s="249"/>
      <c r="J61" s="249"/>
      <c r="K61" s="249"/>
      <c r="L61" s="249"/>
      <c r="M61" s="234"/>
    </row>
    <row r="62" spans="1:13" s="5" customFormat="1" ht="21" customHeight="1" x14ac:dyDescent="0.4">
      <c r="A62" s="50"/>
      <c r="B62" s="345" t="s">
        <v>194</v>
      </c>
      <c r="C62" s="346"/>
      <c r="D62" s="346"/>
      <c r="E62" s="262"/>
      <c r="F62" s="266">
        <f>F60</f>
        <v>0</v>
      </c>
      <c r="G62" s="267" t="s">
        <v>57</v>
      </c>
      <c r="H62" s="507">
        <f>H60</f>
        <v>0</v>
      </c>
      <c r="I62" s="267" t="s">
        <v>206</v>
      </c>
      <c r="J62" s="269">
        <f>J60</f>
        <v>0</v>
      </c>
      <c r="K62" s="267" t="s">
        <v>529</v>
      </c>
      <c r="L62" s="267"/>
      <c r="M62" s="259"/>
    </row>
    <row r="63" spans="1:13" s="5" customFormat="1" ht="21" x14ac:dyDescent="0.4">
      <c r="A63" s="50"/>
      <c r="B63" s="288"/>
      <c r="C63" s="270"/>
      <c r="D63" s="270"/>
      <c r="E63" s="262"/>
      <c r="F63" s="266"/>
      <c r="G63" s="267"/>
      <c r="H63" s="507"/>
      <c r="I63" s="267"/>
      <c r="J63" s="269"/>
      <c r="K63" s="267"/>
      <c r="L63" s="267"/>
      <c r="M63" s="259"/>
    </row>
    <row r="64" spans="1:13" s="5" customFormat="1" ht="21" customHeight="1" x14ac:dyDescent="0.4">
      <c r="A64" s="50"/>
      <c r="B64" s="1061" t="s">
        <v>195</v>
      </c>
      <c r="C64" s="1043"/>
      <c r="D64" s="1043"/>
      <c r="E64" s="262"/>
      <c r="F64" s="266">
        <f>F28+F57+F62</f>
        <v>0</v>
      </c>
      <c r="G64" s="267" t="s">
        <v>57</v>
      </c>
      <c r="H64" s="572">
        <f>H28+H57+H62</f>
        <v>0</v>
      </c>
      <c r="I64" s="267" t="s">
        <v>206</v>
      </c>
      <c r="J64" s="266">
        <f>J28+J57+J62</f>
        <v>0</v>
      </c>
      <c r="K64" s="267" t="s">
        <v>529</v>
      </c>
      <c r="L64" s="267"/>
      <c r="M64" s="259"/>
    </row>
    <row r="65" spans="1:21" s="5" customFormat="1" ht="21" x14ac:dyDescent="0.4">
      <c r="A65" s="50"/>
      <c r="B65" s="288"/>
      <c r="C65" s="270"/>
      <c r="D65" s="270"/>
      <c r="E65" s="262"/>
      <c r="F65" s="266"/>
      <c r="G65" s="267"/>
      <c r="H65" s="268"/>
      <c r="I65" s="267"/>
      <c r="J65" s="269"/>
      <c r="K65" s="267"/>
      <c r="L65" s="267"/>
      <c r="M65" s="259"/>
    </row>
    <row r="66" spans="1:21" s="5" customFormat="1" ht="21.6" customHeight="1" thickBot="1" x14ac:dyDescent="0.45">
      <c r="A66" s="50"/>
      <c r="B66" s="1059" t="s">
        <v>198</v>
      </c>
      <c r="C66" s="1060"/>
      <c r="D66" s="1060"/>
      <c r="E66" s="253"/>
      <c r="F66" s="292">
        <f>F11-F28-F57-F62</f>
        <v>0</v>
      </c>
      <c r="G66" s="293" t="s">
        <v>57</v>
      </c>
      <c r="H66" s="510">
        <f>H11-H28-H57-H62</f>
        <v>0</v>
      </c>
      <c r="I66" s="293" t="s">
        <v>206</v>
      </c>
      <c r="J66" s="292">
        <f>J11-J28-J57-J62</f>
        <v>0</v>
      </c>
      <c r="K66" s="293" t="s">
        <v>529</v>
      </c>
      <c r="L66" s="293"/>
      <c r="M66" s="254"/>
    </row>
    <row r="67" spans="1:21" s="5" customFormat="1" ht="21" x14ac:dyDescent="0.4">
      <c r="A67" s="50"/>
      <c r="B67" s="55"/>
      <c r="C67"/>
      <c r="D67"/>
      <c r="E67"/>
      <c r="F67"/>
      <c r="G67"/>
      <c r="H67"/>
      <c r="I67"/>
      <c r="J67"/>
      <c r="K67"/>
      <c r="L67"/>
      <c r="M67"/>
    </row>
    <row r="68" spans="1:21" s="194" customFormat="1" ht="16.2" thickBot="1" x14ac:dyDescent="0.35">
      <c r="A68" s="620"/>
      <c r="B68"/>
      <c r="C68"/>
      <c r="D68"/>
      <c r="E68"/>
      <c r="F68"/>
      <c r="G68"/>
      <c r="H68"/>
      <c r="I68"/>
      <c r="J68"/>
      <c r="K68"/>
      <c r="L68"/>
      <c r="M68"/>
      <c r="N68" s="5"/>
      <c r="O68" s="5"/>
      <c r="P68" s="5"/>
      <c r="Q68" s="5"/>
      <c r="R68" s="5"/>
      <c r="S68" s="5"/>
      <c r="T68" s="5"/>
      <c r="U68" s="5"/>
    </row>
    <row r="69" spans="1:21" s="5" customFormat="1" ht="21.6" customHeight="1" thickBot="1" x14ac:dyDescent="0.45">
      <c r="A69" s="50"/>
      <c r="B69" s="1078" t="s">
        <v>240</v>
      </c>
      <c r="C69" s="1079"/>
      <c r="D69" s="1079"/>
      <c r="E69" s="1080"/>
      <c r="F69"/>
      <c r="G69"/>
      <c r="H69"/>
      <c r="I69"/>
      <c r="J69"/>
      <c r="K69"/>
      <c r="L69" s="1073" t="s">
        <v>241</v>
      </c>
      <c r="M69" s="1073"/>
    </row>
    <row r="70" spans="1:21" s="5" customFormat="1" ht="21" x14ac:dyDescent="0.4">
      <c r="A70" s="50"/>
      <c r="B70" s="334"/>
      <c r="C70" s="334"/>
      <c r="D70" s="334"/>
      <c r="E70" s="334"/>
      <c r="F70" s="116"/>
      <c r="G70" s="116"/>
      <c r="H70" s="116"/>
      <c r="I70" s="116"/>
      <c r="J70" s="116"/>
      <c r="K70" s="116"/>
      <c r="L70" s="461"/>
      <c r="M70" s="461"/>
    </row>
    <row r="71" spans="1:21" ht="15.6" x14ac:dyDescent="0.3">
      <c r="B71" s="89" t="s">
        <v>390</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218</v>
      </c>
      <c r="D73" s="46"/>
      <c r="E73" s="44"/>
      <c r="F73" s="74">
        <v>1000000</v>
      </c>
      <c r="G73" s="44" t="s">
        <v>357</v>
      </c>
      <c r="H73" s="74">
        <v>6.9999999999999999E-4</v>
      </c>
      <c r="I73" s="49" t="s">
        <v>246</v>
      </c>
      <c r="J73" s="191">
        <f>F73*H73</f>
        <v>700</v>
      </c>
      <c r="K73" s="44" t="s">
        <v>57</v>
      </c>
      <c r="L73" s="44"/>
      <c r="M73" s="46"/>
    </row>
    <row r="74" spans="1:21" s="5" customFormat="1" x14ac:dyDescent="0.25">
      <c r="A74" s="50"/>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50"/>
      <c r="B76" s="96" t="s">
        <v>494</v>
      </c>
      <c r="C76" s="97"/>
      <c r="D76" s="97"/>
      <c r="E76" s="97"/>
      <c r="F76" s="1074" t="s">
        <v>114</v>
      </c>
      <c r="G76" s="1074"/>
      <c r="H76" s="1074" t="s">
        <v>113</v>
      </c>
      <c r="I76" s="1074"/>
      <c r="J76" s="1074" t="s">
        <v>243</v>
      </c>
      <c r="K76" s="1074"/>
      <c r="L76" s="99"/>
      <c r="M76" s="99"/>
    </row>
    <row r="77" spans="1:21" s="56" customFormat="1" ht="18" thickBot="1" x14ac:dyDescent="0.35">
      <c r="A77" s="618"/>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111"/>
      <c r="B78" s="97"/>
      <c r="C78" s="97" t="s">
        <v>358</v>
      </c>
      <c r="D78" s="99"/>
      <c r="E78" s="97"/>
      <c r="F78" s="94">
        <v>600</v>
      </c>
      <c r="G78" s="97" t="s">
        <v>212</v>
      </c>
      <c r="H78" s="77">
        <v>0.75</v>
      </c>
      <c r="I78" s="98" t="s">
        <v>206</v>
      </c>
      <c r="J78" s="100">
        <f>F78*H78</f>
        <v>450</v>
      </c>
      <c r="K78" s="97" t="s">
        <v>57</v>
      </c>
      <c r="L78" s="99"/>
      <c r="M78" s="99"/>
      <c r="N78" s="5"/>
      <c r="O78" s="5"/>
      <c r="P78" s="5"/>
      <c r="Q78" s="5"/>
      <c r="R78" s="5"/>
      <c r="S78" s="5"/>
      <c r="T78" s="5"/>
      <c r="U78" s="5"/>
    </row>
    <row r="79" spans="1:21" s="5" customFormat="1" ht="18" thickBot="1" x14ac:dyDescent="0.35">
      <c r="A79" s="50"/>
      <c r="B79" s="97"/>
      <c r="C79" s="97" t="s">
        <v>359</v>
      </c>
      <c r="D79" s="99"/>
      <c r="E79" s="97"/>
      <c r="F79" s="94">
        <v>200</v>
      </c>
      <c r="G79" s="97" t="s">
        <v>212</v>
      </c>
      <c r="H79" s="77">
        <v>0.59</v>
      </c>
      <c r="I79" s="98" t="s">
        <v>206</v>
      </c>
      <c r="J79" s="100">
        <f t="shared" ref="J79:J83" si="7">F79*H79</f>
        <v>118</v>
      </c>
      <c r="K79" s="97" t="s">
        <v>57</v>
      </c>
      <c r="L79" s="99"/>
      <c r="M79" s="99"/>
      <c r="N79" s="56"/>
      <c r="O79" s="56"/>
      <c r="P79" s="56"/>
      <c r="Q79" s="56"/>
      <c r="R79" s="56"/>
      <c r="S79" s="56"/>
      <c r="T79" s="56"/>
      <c r="U79" s="56"/>
    </row>
    <row r="80" spans="1:21" s="56" customFormat="1" ht="18" thickBot="1" x14ac:dyDescent="0.35">
      <c r="A80" s="618"/>
      <c r="B80" s="97"/>
      <c r="C80" s="97" t="s">
        <v>360</v>
      </c>
      <c r="D80" s="99"/>
      <c r="E80" s="97"/>
      <c r="F80" s="74">
        <v>200</v>
      </c>
      <c r="G80" s="97" t="s">
        <v>212</v>
      </c>
      <c r="H80" s="77">
        <v>0.4</v>
      </c>
      <c r="I80" s="98" t="s">
        <v>206</v>
      </c>
      <c r="J80" s="100">
        <f t="shared" si="7"/>
        <v>80</v>
      </c>
      <c r="K80" s="97" t="s">
        <v>57</v>
      </c>
      <c r="L80" s="99"/>
      <c r="M80" s="99"/>
      <c r="N80" s="69"/>
      <c r="O80" s="69"/>
      <c r="P80" s="69"/>
      <c r="Q80" s="69"/>
      <c r="R80" s="69"/>
      <c r="S80" s="69"/>
      <c r="T80" s="69"/>
      <c r="U80" s="69"/>
    </row>
    <row r="81" spans="1:21" s="69" customFormat="1" ht="15.6" thickBot="1" x14ac:dyDescent="0.3">
      <c r="A81" s="111"/>
      <c r="B81" s="97"/>
      <c r="C81" s="945" t="s">
        <v>361</v>
      </c>
      <c r="D81" s="99"/>
      <c r="E81" s="97"/>
      <c r="F81" s="74">
        <v>1400</v>
      </c>
      <c r="G81" s="97" t="s">
        <v>212</v>
      </c>
      <c r="H81" s="77">
        <v>0.46</v>
      </c>
      <c r="I81" s="98" t="s">
        <v>206</v>
      </c>
      <c r="J81" s="100">
        <f t="shared" si="7"/>
        <v>644</v>
      </c>
      <c r="K81" s="97" t="s">
        <v>57</v>
      </c>
      <c r="L81" s="99"/>
      <c r="M81" s="99"/>
      <c r="N81" s="5"/>
      <c r="O81" s="5"/>
      <c r="P81" s="5"/>
      <c r="Q81" s="5"/>
      <c r="R81" s="5"/>
      <c r="S81" s="5"/>
      <c r="T81" s="5"/>
      <c r="U81" s="5"/>
    </row>
    <row r="82" spans="1:21" s="56" customFormat="1" ht="18" thickBot="1" x14ac:dyDescent="0.35">
      <c r="A82" s="618"/>
      <c r="B82" s="97"/>
      <c r="C82" s="945" t="s">
        <v>251</v>
      </c>
      <c r="D82" s="97"/>
      <c r="E82" s="97"/>
      <c r="F82" s="74"/>
      <c r="G82" s="97" t="s">
        <v>212</v>
      </c>
      <c r="H82" s="77"/>
      <c r="I82" s="98" t="s">
        <v>206</v>
      </c>
      <c r="J82" s="100">
        <f t="shared" si="7"/>
        <v>0</v>
      </c>
      <c r="K82" s="97" t="s">
        <v>57</v>
      </c>
      <c r="L82" s="99"/>
      <c r="M82" s="99"/>
    </row>
    <row r="83" spans="1:21" ht="15.6" thickBot="1" x14ac:dyDescent="0.3">
      <c r="B83" s="97"/>
      <c r="C83" s="945" t="s">
        <v>251</v>
      </c>
      <c r="D83" s="97"/>
      <c r="E83" s="97"/>
      <c r="F83" s="74"/>
      <c r="G83" s="97" t="s">
        <v>212</v>
      </c>
      <c r="H83" s="77"/>
      <c r="I83" s="98" t="s">
        <v>206</v>
      </c>
      <c r="J83" s="100">
        <f t="shared" si="7"/>
        <v>0</v>
      </c>
      <c r="K83" s="97" t="s">
        <v>57</v>
      </c>
      <c r="L83" s="99"/>
      <c r="M83" s="99"/>
      <c r="N83" s="69"/>
      <c r="O83" s="69"/>
      <c r="P83" s="69"/>
      <c r="Q83" s="69"/>
      <c r="R83" s="69"/>
      <c r="S83" s="69"/>
      <c r="T83" s="69"/>
      <c r="U83" s="69"/>
    </row>
    <row r="84" spans="1:21" s="69" customFormat="1" ht="17.399999999999999" x14ac:dyDescent="0.3">
      <c r="A84" s="111"/>
      <c r="B84" s="214"/>
      <c r="C84" s="214" t="s">
        <v>54</v>
      </c>
      <c r="D84" s="214"/>
      <c r="E84" s="214"/>
      <c r="F84" s="214"/>
      <c r="G84" s="214"/>
      <c r="H84" s="214"/>
      <c r="I84" s="215"/>
      <c r="J84" s="216">
        <f>SUM(J78:J83)</f>
        <v>1292</v>
      </c>
      <c r="K84" s="214" t="s">
        <v>57</v>
      </c>
      <c r="L84" s="214"/>
      <c r="M84" s="214"/>
      <c r="N84" s="56"/>
      <c r="O84" s="56"/>
      <c r="P84" s="56"/>
      <c r="Q84" s="56"/>
      <c r="R84" s="56"/>
      <c r="S84" s="56"/>
      <c r="T84" s="56"/>
      <c r="U84" s="56"/>
    </row>
    <row r="85" spans="1:21" s="5" customFormat="1" x14ac:dyDescent="0.25">
      <c r="A85" s="50"/>
      <c r="B85" s="97"/>
      <c r="C85" s="97"/>
      <c r="D85" s="97"/>
      <c r="E85" s="97"/>
      <c r="F85" s="97"/>
      <c r="G85" s="97"/>
      <c r="H85" s="97"/>
      <c r="I85" s="98"/>
      <c r="J85" s="100"/>
      <c r="K85" s="97"/>
      <c r="L85" s="99"/>
      <c r="M85" s="99"/>
      <c r="N85"/>
      <c r="O85"/>
      <c r="P85"/>
      <c r="Q85"/>
      <c r="R85"/>
      <c r="S85"/>
      <c r="T85"/>
      <c r="U85"/>
    </row>
    <row r="86" spans="1:21" s="5" customFormat="1" ht="15" x14ac:dyDescent="0.25">
      <c r="A86" s="50"/>
      <c r="B86"/>
      <c r="C86"/>
      <c r="D86"/>
      <c r="E86"/>
      <c r="F86"/>
      <c r="G86"/>
      <c r="H86"/>
      <c r="I86"/>
      <c r="J86"/>
      <c r="K86"/>
      <c r="L86"/>
      <c r="M86"/>
      <c r="N86" s="69"/>
      <c r="O86" s="69"/>
      <c r="P86" s="69"/>
      <c r="Q86" s="69"/>
      <c r="R86" s="69"/>
      <c r="S86" s="69"/>
      <c r="T86" s="69"/>
      <c r="U86" s="69"/>
    </row>
    <row r="87" spans="1:21" s="5" customFormat="1" ht="15.6" x14ac:dyDescent="0.3">
      <c r="A87" s="50"/>
      <c r="B87" s="85" t="s">
        <v>252</v>
      </c>
      <c r="C87" s="51"/>
      <c r="D87" s="51"/>
      <c r="E87" s="51"/>
      <c r="F87" s="1075" t="s">
        <v>114</v>
      </c>
      <c r="G87" s="1075"/>
      <c r="H87" s="1076" t="s">
        <v>113</v>
      </c>
      <c r="I87" s="1076"/>
      <c r="J87" s="1075" t="s">
        <v>243</v>
      </c>
      <c r="K87" s="1075"/>
      <c r="L87" s="58"/>
      <c r="M87" s="58"/>
    </row>
    <row r="88" spans="1:21" x14ac:dyDescent="0.25">
      <c r="B88" s="51"/>
      <c r="C88" s="51"/>
      <c r="D88" s="51"/>
      <c r="E88" s="51"/>
      <c r="F88" s="53"/>
      <c r="G88" s="53"/>
      <c r="H88" s="52"/>
      <c r="I88" s="52"/>
      <c r="J88" s="52"/>
      <c r="K88" s="58"/>
      <c r="L88" s="58"/>
      <c r="M88" s="58"/>
      <c r="N88" s="5"/>
      <c r="O88" s="5"/>
      <c r="P88" s="5"/>
      <c r="Q88" s="5"/>
      <c r="R88" s="5"/>
      <c r="S88" s="5"/>
      <c r="T88" s="5"/>
      <c r="U88" s="5"/>
    </row>
    <row r="89" spans="1:21" ht="15.6" x14ac:dyDescent="0.3">
      <c r="B89" s="85"/>
      <c r="C89" s="51"/>
      <c r="D89" s="387" t="s">
        <v>495</v>
      </c>
      <c r="E89" s="51"/>
      <c r="F89" s="59"/>
      <c r="G89" s="59"/>
      <c r="H89" s="60"/>
      <c r="I89" s="60"/>
      <c r="J89" s="59"/>
      <c r="K89" s="59"/>
      <c r="L89" s="58"/>
      <c r="M89" s="58"/>
    </row>
    <row r="90" spans="1:21" ht="13.8" thickBot="1" x14ac:dyDescent="0.3">
      <c r="B90" s="171" t="s">
        <v>254</v>
      </c>
      <c r="C90" s="51"/>
      <c r="D90" s="51"/>
      <c r="E90" s="51"/>
      <c r="F90" s="53"/>
      <c r="G90" s="53"/>
      <c r="H90" s="52"/>
      <c r="I90" s="52"/>
      <c r="J90" s="58"/>
      <c r="K90" s="58"/>
      <c r="L90" s="58"/>
      <c r="M90" s="58"/>
    </row>
    <row r="91" spans="1:21" ht="13.8" thickBot="1" x14ac:dyDescent="0.3">
      <c r="B91" s="51"/>
      <c r="C91" s="51" t="s">
        <v>485</v>
      </c>
      <c r="D91" s="58"/>
      <c r="E91" s="51"/>
      <c r="F91" s="95">
        <v>3</v>
      </c>
      <c r="G91" s="53" t="s">
        <v>256</v>
      </c>
      <c r="H91" s="77">
        <v>26.8</v>
      </c>
      <c r="I91" s="52" t="s">
        <v>257</v>
      </c>
      <c r="J91" s="58">
        <f>F91*H91</f>
        <v>80.400000000000006</v>
      </c>
      <c r="K91" s="51" t="s">
        <v>57</v>
      </c>
      <c r="L91" s="58"/>
      <c r="M91" s="58"/>
    </row>
    <row r="92" spans="1:21" ht="13.8" thickBot="1" x14ac:dyDescent="0.3">
      <c r="B92" s="51"/>
      <c r="C92" s="51" t="s">
        <v>533</v>
      </c>
      <c r="D92" s="58"/>
      <c r="E92" s="51"/>
      <c r="F92" s="95">
        <v>0.2</v>
      </c>
      <c r="G92" s="53" t="s">
        <v>212</v>
      </c>
      <c r="H92" s="77">
        <v>47.45</v>
      </c>
      <c r="I92" s="52" t="s">
        <v>206</v>
      </c>
      <c r="J92" s="58">
        <f t="shared" ref="J92:J97" si="8">F92*H92</f>
        <v>9.49</v>
      </c>
      <c r="K92" s="51" t="s">
        <v>57</v>
      </c>
      <c r="L92" s="58"/>
      <c r="M92" s="58"/>
    </row>
    <row r="93" spans="1:21" ht="13.8" thickBot="1" x14ac:dyDescent="0.3">
      <c r="B93" s="51"/>
      <c r="C93" s="51" t="s">
        <v>487</v>
      </c>
      <c r="D93" s="58"/>
      <c r="E93" s="51"/>
      <c r="F93" s="95">
        <v>1</v>
      </c>
      <c r="G93" s="53" t="s">
        <v>256</v>
      </c>
      <c r="H93" s="77">
        <v>46.47</v>
      </c>
      <c r="I93" s="52" t="s">
        <v>257</v>
      </c>
      <c r="J93" s="58">
        <f t="shared" si="8"/>
        <v>46.47</v>
      </c>
      <c r="K93" s="51" t="s">
        <v>57</v>
      </c>
      <c r="L93" s="58"/>
      <c r="M93" s="58"/>
    </row>
    <row r="94" spans="1:21" ht="13.8" thickBot="1" x14ac:dyDescent="0.3">
      <c r="B94" s="51"/>
      <c r="C94" s="51" t="s">
        <v>534</v>
      </c>
      <c r="D94" s="58"/>
      <c r="E94" s="51"/>
      <c r="F94" s="95">
        <v>0.6</v>
      </c>
      <c r="G94" s="53" t="s">
        <v>256</v>
      </c>
      <c r="H94" s="77">
        <v>20.48</v>
      </c>
      <c r="I94" s="52" t="s">
        <v>257</v>
      </c>
      <c r="J94" s="463">
        <f t="shared" si="8"/>
        <v>12.288</v>
      </c>
      <c r="K94" s="51" t="s">
        <v>57</v>
      </c>
      <c r="L94" s="58"/>
      <c r="M94" s="58"/>
    </row>
    <row r="95" spans="1:21" ht="13.8" thickBot="1" x14ac:dyDescent="0.3">
      <c r="B95" s="51"/>
      <c r="C95" s="51" t="s">
        <v>520</v>
      </c>
      <c r="D95" s="58"/>
      <c r="E95" s="51"/>
      <c r="F95" s="95"/>
      <c r="G95" s="53" t="s">
        <v>256</v>
      </c>
      <c r="H95" s="77"/>
      <c r="I95" s="52" t="s">
        <v>257</v>
      </c>
      <c r="J95" s="58">
        <f t="shared" si="8"/>
        <v>0</v>
      </c>
      <c r="K95" s="51" t="s">
        <v>57</v>
      </c>
      <c r="L95" s="58"/>
      <c r="M95" s="58"/>
    </row>
    <row r="96" spans="1:21" ht="13.8" thickBot="1" x14ac:dyDescent="0.3">
      <c r="B96" s="51"/>
      <c r="C96" s="51" t="s">
        <v>520</v>
      </c>
      <c r="D96" s="51"/>
      <c r="E96" s="51"/>
      <c r="F96" s="95"/>
      <c r="G96" s="53" t="s">
        <v>256</v>
      </c>
      <c r="H96" s="77"/>
      <c r="I96" s="52" t="s">
        <v>257</v>
      </c>
      <c r="J96" s="58">
        <f t="shared" si="8"/>
        <v>0</v>
      </c>
      <c r="K96" s="51" t="s">
        <v>57</v>
      </c>
      <c r="L96" s="58"/>
      <c r="M96" s="58"/>
    </row>
    <row r="97" spans="1:13" ht="13.8" thickBot="1" x14ac:dyDescent="0.3">
      <c r="B97" s="51"/>
      <c r="C97" s="51" t="s">
        <v>520</v>
      </c>
      <c r="D97" s="51"/>
      <c r="E97" s="51"/>
      <c r="F97" s="95"/>
      <c r="G97" s="53" t="s">
        <v>256</v>
      </c>
      <c r="H97" s="77"/>
      <c r="I97" s="52" t="s">
        <v>257</v>
      </c>
      <c r="J97" s="58">
        <f t="shared" si="8"/>
        <v>0</v>
      </c>
      <c r="K97" s="51" t="s">
        <v>57</v>
      </c>
      <c r="L97" s="58"/>
      <c r="M97" s="58"/>
    </row>
    <row r="98" spans="1:13" x14ac:dyDescent="0.25">
      <c r="B98" s="51"/>
      <c r="C98" s="51"/>
      <c r="D98" s="51"/>
      <c r="E98" s="51"/>
      <c r="F98" s="53"/>
      <c r="G98" s="53"/>
      <c r="H98" s="52"/>
      <c r="I98" s="52"/>
      <c r="J98" s="58"/>
      <c r="K98" s="51"/>
      <c r="L98" s="58"/>
      <c r="M98" s="58"/>
    </row>
    <row r="99" spans="1:13" ht="13.8" thickBot="1" x14ac:dyDescent="0.3">
      <c r="B99" s="171" t="s">
        <v>266</v>
      </c>
      <c r="C99" s="51"/>
      <c r="D99" s="51"/>
      <c r="E99" s="51"/>
      <c r="F99" s="53"/>
      <c r="G99" s="53"/>
      <c r="H99" s="52"/>
      <c r="I99" s="52"/>
      <c r="J99" s="58"/>
      <c r="K99" s="51"/>
      <c r="L99" s="58"/>
      <c r="M99" s="58"/>
    </row>
    <row r="100" spans="1:13" ht="13.8" thickBot="1" x14ac:dyDescent="0.3">
      <c r="B100" s="51"/>
      <c r="C100" s="51" t="s">
        <v>366</v>
      </c>
      <c r="D100" s="51"/>
      <c r="E100" s="51"/>
      <c r="F100" s="95">
        <v>5</v>
      </c>
      <c r="G100" s="53" t="s">
        <v>260</v>
      </c>
      <c r="H100" s="95">
        <v>13</v>
      </c>
      <c r="I100" s="52" t="s">
        <v>261</v>
      </c>
      <c r="J100" s="58">
        <f t="shared" ref="J100:J104" si="9">F100*H100</f>
        <v>65</v>
      </c>
      <c r="K100" s="51" t="s">
        <v>57</v>
      </c>
      <c r="L100" s="58"/>
      <c r="M100" s="58"/>
    </row>
    <row r="101" spans="1:13" ht="13.8" thickBot="1" x14ac:dyDescent="0.3">
      <c r="B101" s="51"/>
      <c r="C101" s="51" t="s">
        <v>521</v>
      </c>
      <c r="D101" s="51"/>
      <c r="E101" s="51"/>
      <c r="F101" s="95"/>
      <c r="G101" s="53" t="s">
        <v>256</v>
      </c>
      <c r="H101" s="95"/>
      <c r="I101" s="52" t="s">
        <v>257</v>
      </c>
      <c r="J101" s="58">
        <f t="shared" si="9"/>
        <v>0</v>
      </c>
      <c r="K101" s="51" t="s">
        <v>57</v>
      </c>
      <c r="L101" s="58"/>
      <c r="M101" s="58"/>
    </row>
    <row r="102" spans="1:13" ht="13.8" thickBot="1" x14ac:dyDescent="0.3">
      <c r="B102" s="51"/>
      <c r="C102" s="51" t="s">
        <v>521</v>
      </c>
      <c r="D102" s="51"/>
      <c r="E102" s="51"/>
      <c r="F102" s="95"/>
      <c r="G102" s="53" t="s">
        <v>256</v>
      </c>
      <c r="H102" s="95"/>
      <c r="I102" s="52" t="s">
        <v>257</v>
      </c>
      <c r="J102" s="58">
        <f t="shared" si="9"/>
        <v>0</v>
      </c>
      <c r="K102" s="51" t="s">
        <v>57</v>
      </c>
      <c r="L102" s="58"/>
      <c r="M102" s="58"/>
    </row>
    <row r="103" spans="1:13" ht="13.8" thickBot="1" x14ac:dyDescent="0.3">
      <c r="B103" s="51"/>
      <c r="C103" s="51" t="s">
        <v>521</v>
      </c>
      <c r="D103" s="51"/>
      <c r="E103" s="51"/>
      <c r="F103" s="95"/>
      <c r="G103" s="53" t="s">
        <v>256</v>
      </c>
      <c r="H103" s="95"/>
      <c r="I103" s="52" t="s">
        <v>257</v>
      </c>
      <c r="J103" s="58">
        <f t="shared" si="9"/>
        <v>0</v>
      </c>
      <c r="K103" s="51" t="s">
        <v>57</v>
      </c>
      <c r="L103" s="58"/>
      <c r="M103" s="58"/>
    </row>
    <row r="104" spans="1:13" ht="13.8" thickBot="1" x14ac:dyDescent="0.3">
      <c r="B104" s="51"/>
      <c r="C104" s="51" t="s">
        <v>521</v>
      </c>
      <c r="D104" s="51"/>
      <c r="E104" s="51"/>
      <c r="F104" s="95"/>
      <c r="G104" s="53" t="s">
        <v>256</v>
      </c>
      <c r="H104" s="95"/>
      <c r="I104" s="52" t="s">
        <v>257</v>
      </c>
      <c r="J104" s="58">
        <f t="shared" si="9"/>
        <v>0</v>
      </c>
      <c r="K104" s="51" t="s">
        <v>57</v>
      </c>
      <c r="L104" s="58"/>
      <c r="M104" s="58"/>
    </row>
    <row r="105" spans="1:13" s="5" customFormat="1" x14ac:dyDescent="0.25">
      <c r="A105" s="50"/>
      <c r="B105" s="195"/>
      <c r="C105" s="195" t="s">
        <v>54</v>
      </c>
      <c r="D105" s="195"/>
      <c r="E105" s="195"/>
      <c r="F105" s="196"/>
      <c r="G105" s="196"/>
      <c r="H105" s="196"/>
      <c r="I105" s="197"/>
      <c r="J105" s="197">
        <f>SUM(J91:J104)</f>
        <v>213.64800000000002</v>
      </c>
      <c r="K105" s="195" t="s">
        <v>57</v>
      </c>
      <c r="L105" s="195"/>
      <c r="M105" s="195"/>
    </row>
    <row r="106" spans="1:13" x14ac:dyDescent="0.25">
      <c r="B106" s="51"/>
      <c r="C106" s="51"/>
      <c r="D106" s="51"/>
      <c r="E106" s="51"/>
      <c r="F106" s="53"/>
      <c r="G106" s="53"/>
      <c r="H106" s="52"/>
      <c r="I106" s="52"/>
      <c r="J106" s="58"/>
      <c r="K106" s="51"/>
      <c r="L106" s="58"/>
      <c r="M106" s="58"/>
    </row>
    <row r="107" spans="1:13" x14ac:dyDescent="0.25">
      <c r="A107" s="621"/>
    </row>
    <row r="108" spans="1:13" ht="15.6" x14ac:dyDescent="0.3">
      <c r="A108" s="621"/>
      <c r="B108" s="86" t="s">
        <v>367</v>
      </c>
      <c r="C108" s="61"/>
      <c r="D108" s="61"/>
      <c r="E108" s="61"/>
      <c r="F108" s="1071" t="s">
        <v>114</v>
      </c>
      <c r="G108" s="1071"/>
      <c r="H108" s="1071" t="s">
        <v>113</v>
      </c>
      <c r="I108" s="1071"/>
      <c r="J108" s="1071" t="s">
        <v>243</v>
      </c>
      <c r="K108" s="1071"/>
      <c r="L108" s="63"/>
      <c r="M108" s="63"/>
    </row>
    <row r="109" spans="1:13" ht="13.8" thickBot="1" x14ac:dyDescent="0.3">
      <c r="A109" s="621"/>
      <c r="B109" s="61"/>
      <c r="C109" s="61"/>
      <c r="D109" s="61"/>
      <c r="E109" s="61"/>
      <c r="F109" s="61"/>
      <c r="G109" s="61"/>
      <c r="H109" s="62"/>
      <c r="I109" s="62"/>
      <c r="J109" s="63"/>
      <c r="K109" s="63"/>
      <c r="L109" s="63"/>
      <c r="M109" s="63"/>
    </row>
    <row r="110" spans="1:13" ht="13.8" thickBot="1" x14ac:dyDescent="0.3">
      <c r="A110" s="621"/>
      <c r="B110" s="61"/>
      <c r="C110" s="61" t="s">
        <v>368</v>
      </c>
      <c r="D110" s="63"/>
      <c r="E110" s="61"/>
      <c r="F110" s="388">
        <f>S10*'Gårdens info'!$G$18/1</f>
        <v>0</v>
      </c>
      <c r="G110" s="61" t="s">
        <v>31</v>
      </c>
      <c r="H110" s="77">
        <v>0.01</v>
      </c>
      <c r="I110" s="62" t="s">
        <v>246</v>
      </c>
      <c r="J110" s="64">
        <f>F110*H110</f>
        <v>0</v>
      </c>
      <c r="K110" s="61" t="s">
        <v>57</v>
      </c>
      <c r="L110" s="63"/>
      <c r="M110" s="63"/>
    </row>
    <row r="111" spans="1:13" ht="13.8" thickBot="1" x14ac:dyDescent="0.3">
      <c r="A111" s="621"/>
      <c r="B111" s="61"/>
      <c r="C111" s="61" t="s">
        <v>369</v>
      </c>
      <c r="D111" s="63"/>
      <c r="E111" s="61"/>
      <c r="F111" s="388">
        <f>S11*'Gårdens info'!$G$18/1</f>
        <v>0</v>
      </c>
      <c r="G111" s="61" t="s">
        <v>31</v>
      </c>
      <c r="H111" s="77">
        <v>0.01</v>
      </c>
      <c r="I111" s="62" t="s">
        <v>246</v>
      </c>
      <c r="J111" s="64">
        <f t="shared" ref="J111:J117" si="10">F111*H111</f>
        <v>0</v>
      </c>
      <c r="K111" s="61" t="s">
        <v>57</v>
      </c>
      <c r="L111" s="63"/>
      <c r="M111" s="63"/>
    </row>
    <row r="112" spans="1:13" ht="13.8" thickBot="1" x14ac:dyDescent="0.3">
      <c r="A112" s="621"/>
      <c r="B112" s="61"/>
      <c r="C112" s="61" t="s">
        <v>270</v>
      </c>
      <c r="D112" s="63"/>
      <c r="E112" s="61"/>
      <c r="F112" s="388">
        <f>S12*'Gårdens info'!$G$18/1</f>
        <v>0</v>
      </c>
      <c r="G112" s="61" t="s">
        <v>31</v>
      </c>
      <c r="H112" s="77">
        <v>0.01</v>
      </c>
      <c r="I112" s="62" t="s">
        <v>246</v>
      </c>
      <c r="J112" s="64">
        <f t="shared" si="10"/>
        <v>0</v>
      </c>
      <c r="K112" s="61" t="s">
        <v>57</v>
      </c>
      <c r="L112" s="63"/>
      <c r="M112" s="63"/>
    </row>
    <row r="113" spans="1:21" ht="13.8" thickBot="1" x14ac:dyDescent="0.3">
      <c r="A113" s="621"/>
      <c r="B113" s="61"/>
      <c r="C113" s="61" t="s">
        <v>271</v>
      </c>
      <c r="D113" s="63"/>
      <c r="E113" s="61"/>
      <c r="F113" s="388">
        <f>S13*'Gårdens info'!$G$18/1</f>
        <v>0</v>
      </c>
      <c r="G113" s="61" t="s">
        <v>31</v>
      </c>
      <c r="H113" s="77">
        <v>0.05</v>
      </c>
      <c r="I113" s="62" t="s">
        <v>246</v>
      </c>
      <c r="J113" s="64">
        <f t="shared" si="10"/>
        <v>0</v>
      </c>
      <c r="K113" s="61" t="s">
        <v>57</v>
      </c>
      <c r="L113" s="63"/>
      <c r="M113" s="63"/>
    </row>
    <row r="114" spans="1:21" ht="13.8" thickBot="1" x14ac:dyDescent="0.3">
      <c r="A114" s="621"/>
      <c r="B114" s="61"/>
      <c r="C114" s="77" t="s">
        <v>523</v>
      </c>
      <c r="D114" s="77"/>
      <c r="E114" s="61" t="s">
        <v>212</v>
      </c>
      <c r="F114" s="388">
        <f>IF(S14&gt;0,S14*'Gårdens info'!$G$18/D114,0)</f>
        <v>0</v>
      </c>
      <c r="G114" s="61" t="s">
        <v>31</v>
      </c>
      <c r="H114" s="77"/>
      <c r="I114" s="62" t="s">
        <v>246</v>
      </c>
      <c r="J114" s="64">
        <f t="shared" ref="J114:J115" si="11">F114*H114</f>
        <v>0</v>
      </c>
      <c r="K114" s="61" t="s">
        <v>57</v>
      </c>
      <c r="L114" s="63"/>
      <c r="M114" s="63"/>
    </row>
    <row r="115" spans="1:21" ht="13.8" thickBot="1" x14ac:dyDescent="0.3">
      <c r="A115" s="621"/>
      <c r="B115" s="61"/>
      <c r="C115" s="77" t="s">
        <v>523</v>
      </c>
      <c r="D115" s="77"/>
      <c r="E115" s="61" t="s">
        <v>212</v>
      </c>
      <c r="F115" s="388">
        <f>IF(S15&gt;0,S15*'Gårdens info'!$G$18/D115,0)</f>
        <v>0</v>
      </c>
      <c r="G115" s="61" t="s">
        <v>31</v>
      </c>
      <c r="H115" s="77"/>
      <c r="I115" s="62" t="s">
        <v>246</v>
      </c>
      <c r="J115" s="64">
        <f t="shared" si="11"/>
        <v>0</v>
      </c>
      <c r="K115" s="61" t="s">
        <v>57</v>
      </c>
      <c r="L115" s="63"/>
      <c r="M115" s="63"/>
    </row>
    <row r="116" spans="1:21" ht="13.8" thickBot="1" x14ac:dyDescent="0.3">
      <c r="A116" s="621"/>
      <c r="B116" s="61"/>
      <c r="C116" s="77" t="s">
        <v>523</v>
      </c>
      <c r="D116" s="77"/>
      <c r="E116" s="61" t="s">
        <v>212</v>
      </c>
      <c r="F116" s="388">
        <f>IF(S16&gt;0,S16*'Gårdens info'!$G$18/D116,0)</f>
        <v>0</v>
      </c>
      <c r="G116" s="61" t="s">
        <v>31</v>
      </c>
      <c r="H116" s="77"/>
      <c r="I116" s="62" t="s">
        <v>246</v>
      </c>
      <c r="J116" s="64">
        <f t="shared" si="10"/>
        <v>0</v>
      </c>
      <c r="K116" s="61" t="s">
        <v>57</v>
      </c>
      <c r="L116" s="63"/>
      <c r="M116" s="63"/>
    </row>
    <row r="117" spans="1:21" ht="13.8" thickBot="1" x14ac:dyDescent="0.3">
      <c r="A117" s="621"/>
      <c r="B117" s="61"/>
      <c r="C117" s="77" t="s">
        <v>523</v>
      </c>
      <c r="D117" s="77"/>
      <c r="E117" s="61" t="s">
        <v>212</v>
      </c>
      <c r="F117" s="388">
        <f>IF(S17&gt;0,S17*'Gårdens info'!$G$18/D117,0)</f>
        <v>0</v>
      </c>
      <c r="G117" s="61" t="s">
        <v>31</v>
      </c>
      <c r="H117" s="77"/>
      <c r="I117" s="62" t="s">
        <v>246</v>
      </c>
      <c r="J117" s="64">
        <f t="shared" si="10"/>
        <v>0</v>
      </c>
      <c r="K117" s="61" t="s">
        <v>57</v>
      </c>
      <c r="L117" s="63"/>
      <c r="M117" s="63"/>
    </row>
    <row r="118" spans="1:21" x14ac:dyDescent="0.25">
      <c r="A118" s="621"/>
      <c r="B118" s="198"/>
      <c r="C118" s="198" t="s">
        <v>54</v>
      </c>
      <c r="D118" s="198"/>
      <c r="E118" s="198"/>
      <c r="F118" s="198"/>
      <c r="G118" s="198"/>
      <c r="H118" s="199"/>
      <c r="I118" s="199"/>
      <c r="J118" s="200">
        <f>SUM(J110:J117)</f>
        <v>0</v>
      </c>
      <c r="K118" s="198" t="s">
        <v>57</v>
      </c>
      <c r="L118" s="198"/>
      <c r="M118" s="198"/>
    </row>
    <row r="119" spans="1:21" x14ac:dyDescent="0.25">
      <c r="A119" s="621"/>
      <c r="B119" s="61"/>
      <c r="C119" s="61"/>
      <c r="D119" s="61"/>
      <c r="E119" s="61"/>
      <c r="F119" s="61"/>
      <c r="G119" s="61"/>
      <c r="H119" s="62"/>
      <c r="I119" s="62"/>
      <c r="J119" s="64"/>
      <c r="K119" s="61"/>
      <c r="L119" s="63"/>
      <c r="M119" s="63"/>
    </row>
    <row r="120" spans="1:21" x14ac:dyDescent="0.25">
      <c r="A120" s="621"/>
    </row>
    <row r="121" spans="1:21" s="5" customFormat="1" ht="15.6" x14ac:dyDescent="0.3">
      <c r="A121" s="622"/>
      <c r="B121" s="87" t="s">
        <v>273</v>
      </c>
      <c r="C121" s="65"/>
      <c r="D121" s="65"/>
      <c r="E121" s="65"/>
      <c r="F121" s="1072" t="s">
        <v>114</v>
      </c>
      <c r="G121" s="1072"/>
      <c r="H121" s="1072" t="s">
        <v>113</v>
      </c>
      <c r="I121" s="1072"/>
      <c r="J121" s="1072" t="s">
        <v>243</v>
      </c>
      <c r="K121" s="1072"/>
      <c r="L121" s="67"/>
      <c r="M121" s="67"/>
      <c r="N121"/>
      <c r="O121"/>
      <c r="P121"/>
      <c r="Q121"/>
      <c r="R121"/>
      <c r="S121"/>
      <c r="T121"/>
      <c r="U121"/>
    </row>
    <row r="122" spans="1:21" ht="13.8" thickBot="1" x14ac:dyDescent="0.3">
      <c r="A122" s="621"/>
      <c r="B122" s="65"/>
      <c r="C122" s="65"/>
      <c r="D122" s="65"/>
      <c r="E122" s="65"/>
      <c r="F122" s="65"/>
      <c r="G122" s="65"/>
      <c r="H122" s="66"/>
      <c r="I122" s="66"/>
      <c r="J122" s="67"/>
      <c r="K122" s="67"/>
      <c r="L122" s="67"/>
      <c r="M122" s="67"/>
    </row>
    <row r="123" spans="1:21" ht="13.8" thickBot="1" x14ac:dyDescent="0.3">
      <c r="A123" s="621"/>
      <c r="B123" s="65"/>
      <c r="C123" s="65" t="s">
        <v>222</v>
      </c>
      <c r="D123" s="67"/>
      <c r="E123" s="65"/>
      <c r="F123" s="74">
        <f>'Gårdens info'!G18*'Gårdens info'!D18*0.9</f>
        <v>0</v>
      </c>
      <c r="G123" s="65" t="s">
        <v>212</v>
      </c>
      <c r="H123" s="77">
        <v>0.02</v>
      </c>
      <c r="I123" s="66" t="s">
        <v>206</v>
      </c>
      <c r="J123" s="68">
        <f t="shared" ref="J123:J125" si="12">F123*H123</f>
        <v>0</v>
      </c>
      <c r="K123" s="65" t="s">
        <v>57</v>
      </c>
      <c r="L123" s="67"/>
      <c r="M123" s="67"/>
      <c r="N123" s="5"/>
      <c r="O123" s="5"/>
      <c r="P123" s="5"/>
      <c r="Q123" s="5"/>
      <c r="R123" s="5"/>
      <c r="S123" s="5"/>
      <c r="T123" s="5"/>
      <c r="U123" s="5"/>
    </row>
    <row r="124" spans="1:21" ht="13.8" thickBot="1" x14ac:dyDescent="0.3">
      <c r="A124" s="621"/>
      <c r="B124" s="65"/>
      <c r="C124" s="65" t="s">
        <v>372</v>
      </c>
      <c r="D124" s="65"/>
      <c r="E124" s="65"/>
      <c r="F124" s="74"/>
      <c r="G124" s="65" t="s">
        <v>212</v>
      </c>
      <c r="H124" s="77"/>
      <c r="I124" s="66" t="s">
        <v>206</v>
      </c>
      <c r="J124" s="68">
        <f t="shared" si="12"/>
        <v>0</v>
      </c>
      <c r="K124" s="65" t="s">
        <v>57</v>
      </c>
      <c r="L124" s="67"/>
      <c r="M124" s="67"/>
    </row>
    <row r="125" spans="1:21" ht="13.8" thickBot="1" x14ac:dyDescent="0.3">
      <c r="A125" s="621"/>
      <c r="B125" s="65"/>
      <c r="C125" s="65" t="s">
        <v>372</v>
      </c>
      <c r="D125" s="65"/>
      <c r="E125" s="65"/>
      <c r="F125" s="74"/>
      <c r="G125" s="65" t="s">
        <v>212</v>
      </c>
      <c r="H125" s="77"/>
      <c r="I125" s="66" t="s">
        <v>206</v>
      </c>
      <c r="J125" s="68">
        <f t="shared" si="12"/>
        <v>0</v>
      </c>
      <c r="K125" s="65" t="s">
        <v>57</v>
      </c>
      <c r="L125" s="67"/>
      <c r="M125" s="67"/>
    </row>
    <row r="126" spans="1:21" x14ac:dyDescent="0.25">
      <c r="A126" s="621"/>
      <c r="B126" s="201"/>
      <c r="C126" s="201" t="s">
        <v>54</v>
      </c>
      <c r="D126" s="201"/>
      <c r="E126" s="201"/>
      <c r="F126" s="201"/>
      <c r="G126" s="201"/>
      <c r="H126" s="202"/>
      <c r="I126" s="202"/>
      <c r="J126" s="203">
        <f>SUM(J123:J125)</f>
        <v>0</v>
      </c>
      <c r="K126" s="201" t="s">
        <v>57</v>
      </c>
      <c r="L126" s="201"/>
      <c r="M126" s="201"/>
    </row>
    <row r="127" spans="1:21" x14ac:dyDescent="0.25">
      <c r="A127" s="621"/>
      <c r="B127" s="65"/>
      <c r="C127" s="65"/>
      <c r="D127" s="65"/>
      <c r="E127" s="65"/>
      <c r="F127" s="65"/>
      <c r="G127" s="65"/>
      <c r="H127" s="66"/>
      <c r="I127" s="66"/>
      <c r="J127" s="68"/>
      <c r="K127" s="65"/>
      <c r="L127" s="67"/>
      <c r="M127" s="67"/>
    </row>
    <row r="128" spans="1:21" x14ac:dyDescent="0.25">
      <c r="A128" s="621"/>
    </row>
    <row r="129" spans="1:21" ht="15.6" x14ac:dyDescent="0.3">
      <c r="A129" s="621"/>
      <c r="B129" s="176" t="s">
        <v>275</v>
      </c>
      <c r="C129" s="177"/>
      <c r="D129" s="177"/>
      <c r="E129" s="177"/>
      <c r="F129" s="1067" t="s">
        <v>114</v>
      </c>
      <c r="G129" s="1067"/>
      <c r="H129" s="1067" t="s">
        <v>113</v>
      </c>
      <c r="I129" s="1067"/>
      <c r="J129" s="1067" t="s">
        <v>243</v>
      </c>
      <c r="K129" s="1067"/>
      <c r="L129" s="179"/>
      <c r="M129" s="179"/>
    </row>
    <row r="130" spans="1:21" ht="13.8" thickBot="1" x14ac:dyDescent="0.3">
      <c r="A130" s="621"/>
      <c r="B130" s="177"/>
      <c r="C130" s="177"/>
      <c r="D130" s="177"/>
      <c r="E130" s="177"/>
      <c r="F130" s="177"/>
      <c r="G130" s="177"/>
      <c r="H130" s="178"/>
      <c r="I130" s="178"/>
      <c r="J130" s="179"/>
      <c r="K130" s="179"/>
      <c r="L130" s="179"/>
      <c r="M130" s="179"/>
    </row>
    <row r="131" spans="1:21" ht="13.8" thickBot="1" x14ac:dyDescent="0.3">
      <c r="A131" s="621"/>
      <c r="B131" s="177"/>
      <c r="C131" s="177" t="s">
        <v>276</v>
      </c>
      <c r="D131" s="179"/>
      <c r="E131" s="177"/>
      <c r="F131" s="74"/>
      <c r="G131" s="177" t="s">
        <v>7</v>
      </c>
      <c r="H131" s="77"/>
      <c r="I131" s="178" t="s">
        <v>57</v>
      </c>
      <c r="J131" s="180">
        <f t="shared" ref="J131:J133" si="13">F131*H131</f>
        <v>0</v>
      </c>
      <c r="K131" s="177" t="s">
        <v>57</v>
      </c>
      <c r="L131" s="179"/>
      <c r="M131" s="179"/>
    </row>
    <row r="132" spans="1:21" ht="13.8" thickBot="1" x14ac:dyDescent="0.3">
      <c r="B132" s="177"/>
      <c r="C132" s="177" t="s">
        <v>276</v>
      </c>
      <c r="D132" s="177"/>
      <c r="E132" s="177"/>
      <c r="F132" s="74"/>
      <c r="G132" s="177" t="s">
        <v>7</v>
      </c>
      <c r="H132" s="77"/>
      <c r="I132" s="178" t="s">
        <v>57</v>
      </c>
      <c r="J132" s="180">
        <f t="shared" si="13"/>
        <v>0</v>
      </c>
      <c r="K132" s="177" t="s">
        <v>57</v>
      </c>
      <c r="L132" s="179"/>
      <c r="M132" s="179"/>
    </row>
    <row r="133" spans="1:21" ht="13.8" thickBot="1" x14ac:dyDescent="0.3">
      <c r="B133" s="177"/>
      <c r="C133" s="177" t="s">
        <v>276</v>
      </c>
      <c r="D133" s="177"/>
      <c r="E133" s="177"/>
      <c r="F133" s="74"/>
      <c r="G133" s="177" t="s">
        <v>7</v>
      </c>
      <c r="H133" s="77"/>
      <c r="I133" s="178" t="s">
        <v>57</v>
      </c>
      <c r="J133" s="180">
        <f t="shared" si="13"/>
        <v>0</v>
      </c>
      <c r="K133" s="177" t="s">
        <v>57</v>
      </c>
      <c r="L133" s="179"/>
      <c r="M133" s="179"/>
    </row>
    <row r="134" spans="1:21" s="5" customFormat="1" x14ac:dyDescent="0.25">
      <c r="A134" s="50"/>
      <c r="B134" s="204"/>
      <c r="C134" s="204" t="s">
        <v>54</v>
      </c>
      <c r="D134" s="204"/>
      <c r="E134" s="204"/>
      <c r="F134" s="204"/>
      <c r="G134" s="204"/>
      <c r="H134" s="205"/>
      <c r="I134" s="205"/>
      <c r="J134" s="206">
        <f>SUM(J131:J133)</f>
        <v>0</v>
      </c>
      <c r="K134" s="204" t="s">
        <v>57</v>
      </c>
      <c r="L134" s="204"/>
      <c r="M134" s="204"/>
      <c r="N134"/>
      <c r="O134"/>
      <c r="P134"/>
      <c r="Q134"/>
      <c r="R134"/>
      <c r="S134"/>
      <c r="T134"/>
      <c r="U134"/>
    </row>
    <row r="135" spans="1:21" x14ac:dyDescent="0.25">
      <c r="B135" s="177"/>
      <c r="C135" s="177"/>
      <c r="D135" s="177"/>
      <c r="E135" s="177"/>
      <c r="F135" s="177"/>
      <c r="G135" s="177"/>
      <c r="H135" s="178"/>
      <c r="I135" s="178"/>
      <c r="J135" s="180"/>
      <c r="K135" s="177"/>
      <c r="L135" s="179"/>
      <c r="M135" s="179"/>
    </row>
    <row r="136" spans="1:21" ht="30" customHeight="1" x14ac:dyDescent="0.25">
      <c r="N136" s="5"/>
      <c r="O136" s="5"/>
      <c r="P136" s="5"/>
      <c r="Q136" s="5"/>
      <c r="R136" s="5"/>
      <c r="S136" s="5"/>
      <c r="T136" s="5"/>
      <c r="U136" s="5"/>
    </row>
    <row r="137" spans="1:21" ht="15.6" x14ac:dyDescent="0.3">
      <c r="B137" s="181" t="s">
        <v>490</v>
      </c>
      <c r="C137" s="182"/>
      <c r="D137" s="182"/>
      <c r="E137" s="183"/>
      <c r="F137" s="182" t="s">
        <v>114</v>
      </c>
      <c r="G137" s="184"/>
      <c r="H137" s="184" t="s">
        <v>113</v>
      </c>
      <c r="I137" s="182"/>
      <c r="J137" s="182" t="s">
        <v>243</v>
      </c>
      <c r="K137" s="185"/>
      <c r="L137" s="185"/>
      <c r="M137" s="185"/>
    </row>
    <row r="138" spans="1:21" ht="16.2" thickBot="1" x14ac:dyDescent="0.35">
      <c r="B138" s="181"/>
      <c r="C138" s="182"/>
      <c r="D138" s="182"/>
      <c r="E138" s="183"/>
      <c r="F138" s="182"/>
      <c r="G138" s="184"/>
      <c r="H138" s="184"/>
      <c r="I138" s="182"/>
      <c r="J138" s="182"/>
      <c r="K138" s="185"/>
      <c r="L138" s="185"/>
      <c r="M138" s="185"/>
    </row>
    <row r="139" spans="1:21" ht="13.8" thickBot="1" x14ac:dyDescent="0.3">
      <c r="B139" s="182"/>
      <c r="C139" s="182" t="s">
        <v>278</v>
      </c>
      <c r="D139" s="185"/>
      <c r="E139" s="186"/>
      <c r="F139" s="74">
        <v>10500</v>
      </c>
      <c r="G139" s="187" t="s">
        <v>279</v>
      </c>
      <c r="H139" s="74">
        <v>0.15</v>
      </c>
      <c r="I139" s="188" t="s">
        <v>280</v>
      </c>
      <c r="J139" s="185">
        <f>H139*F139</f>
        <v>1575</v>
      </c>
      <c r="K139" s="188" t="s">
        <v>57</v>
      </c>
      <c r="L139" s="185"/>
      <c r="M139" s="185"/>
    </row>
    <row r="140" spans="1:21" ht="13.8" thickBot="1" x14ac:dyDescent="0.3">
      <c r="B140" s="182"/>
      <c r="C140" s="182" t="s">
        <v>281</v>
      </c>
      <c r="D140" s="188">
        <f>F173/2</f>
        <v>74.5</v>
      </c>
      <c r="E140" s="182" t="s">
        <v>282</v>
      </c>
      <c r="F140" s="74">
        <f>+D140*8</f>
        <v>596</v>
      </c>
      <c r="G140" s="184" t="s">
        <v>256</v>
      </c>
      <c r="H140" s="74">
        <v>0.83</v>
      </c>
      <c r="I140" s="188" t="s">
        <v>257</v>
      </c>
      <c r="J140" s="185">
        <f>H140*F140</f>
        <v>494.67999999999995</v>
      </c>
      <c r="K140" s="188" t="s">
        <v>57</v>
      </c>
      <c r="L140" s="185"/>
      <c r="M140" s="185"/>
    </row>
    <row r="141" spans="1:21" ht="13.8" thickBot="1" x14ac:dyDescent="0.3">
      <c r="B141" s="182"/>
      <c r="C141" s="182" t="s">
        <v>283</v>
      </c>
      <c r="D141" s="188">
        <f>D140</f>
        <v>74.5</v>
      </c>
      <c r="E141" s="182" t="s">
        <v>282</v>
      </c>
      <c r="F141" s="74">
        <v>11.88</v>
      </c>
      <c r="G141" s="184" t="s">
        <v>212</v>
      </c>
      <c r="H141" s="74">
        <v>4</v>
      </c>
      <c r="I141" s="188" t="s">
        <v>206</v>
      </c>
      <c r="J141" s="185">
        <f t="shared" ref="J141:J145" si="14">H141*F141</f>
        <v>47.52</v>
      </c>
      <c r="K141" s="188" t="s">
        <v>57</v>
      </c>
      <c r="L141" s="185"/>
      <c r="M141" s="185"/>
    </row>
    <row r="142" spans="1:21" ht="13.8" thickBot="1" x14ac:dyDescent="0.3">
      <c r="B142" s="182"/>
      <c r="C142" s="182" t="s">
        <v>284</v>
      </c>
      <c r="D142" s="185"/>
      <c r="E142" s="188"/>
      <c r="F142" s="74">
        <v>200</v>
      </c>
      <c r="G142" s="184" t="s">
        <v>256</v>
      </c>
      <c r="H142" s="74">
        <v>1.53</v>
      </c>
      <c r="I142" s="188" t="s">
        <v>257</v>
      </c>
      <c r="J142" s="185">
        <f t="shared" si="14"/>
        <v>306</v>
      </c>
      <c r="K142" s="188" t="s">
        <v>57</v>
      </c>
      <c r="L142" s="185"/>
      <c r="M142" s="185"/>
    </row>
    <row r="143" spans="1:21" ht="13.8" thickBot="1" x14ac:dyDescent="0.3">
      <c r="B143" s="182"/>
      <c r="C143" s="182" t="s">
        <v>285</v>
      </c>
      <c r="D143" s="185"/>
      <c r="E143" s="188"/>
      <c r="F143" s="74"/>
      <c r="G143" s="184" t="s">
        <v>256</v>
      </c>
      <c r="H143" s="74"/>
      <c r="I143" s="188" t="s">
        <v>257</v>
      </c>
      <c r="J143" s="185">
        <f t="shared" si="14"/>
        <v>0</v>
      </c>
      <c r="K143" s="188" t="s">
        <v>57</v>
      </c>
      <c r="L143" s="185"/>
      <c r="M143" s="185"/>
    </row>
    <row r="144" spans="1:21" ht="13.8" thickBot="1" x14ac:dyDescent="0.3">
      <c r="B144" s="182"/>
      <c r="C144" s="182" t="s">
        <v>286</v>
      </c>
      <c r="D144" s="185"/>
      <c r="E144" s="188"/>
      <c r="F144" s="74"/>
      <c r="G144" s="184"/>
      <c r="H144" s="74"/>
      <c r="I144" s="188"/>
      <c r="J144" s="185">
        <f t="shared" si="14"/>
        <v>0</v>
      </c>
      <c r="K144" s="188" t="s">
        <v>57</v>
      </c>
      <c r="L144" s="185"/>
      <c r="M144" s="185"/>
    </row>
    <row r="145" spans="1:21" ht="13.8" thickBot="1" x14ac:dyDescent="0.3">
      <c r="B145" s="185"/>
      <c r="C145" s="182" t="s">
        <v>286</v>
      </c>
      <c r="D145" s="185"/>
      <c r="E145" s="185"/>
      <c r="F145" s="74"/>
      <c r="G145" s="185"/>
      <c r="H145" s="74"/>
      <c r="I145" s="185"/>
      <c r="J145" s="185">
        <f t="shared" si="14"/>
        <v>0</v>
      </c>
      <c r="K145" s="188" t="s">
        <v>57</v>
      </c>
      <c r="L145" s="185"/>
      <c r="M145" s="185"/>
    </row>
    <row r="146" spans="1:21" s="5" customFormat="1" x14ac:dyDescent="0.25">
      <c r="A146" s="50"/>
      <c r="B146" s="207"/>
      <c r="C146" s="207" t="s">
        <v>54</v>
      </c>
      <c r="D146" s="207"/>
      <c r="E146" s="207"/>
      <c r="F146" s="207"/>
      <c r="G146" s="207"/>
      <c r="H146" s="207"/>
      <c r="I146" s="207"/>
      <c r="J146" s="207">
        <f>SUM(J139:J145)</f>
        <v>2423.1999999999998</v>
      </c>
      <c r="K146" s="208" t="s">
        <v>57</v>
      </c>
      <c r="L146" s="207"/>
      <c r="M146" s="207"/>
    </row>
    <row r="147" spans="1:21" x14ac:dyDescent="0.25">
      <c r="B147" s="185"/>
      <c r="C147" s="185"/>
      <c r="D147" s="185"/>
      <c r="E147" s="185"/>
      <c r="F147" s="185"/>
      <c r="G147" s="185"/>
      <c r="H147" s="185"/>
      <c r="I147" s="185"/>
      <c r="J147" s="185"/>
      <c r="K147" s="185"/>
      <c r="L147" s="185"/>
      <c r="M147" s="185"/>
    </row>
    <row r="149" spans="1:21" ht="15.6" x14ac:dyDescent="0.3">
      <c r="B149" s="88" t="s">
        <v>287</v>
      </c>
      <c r="C149" s="79"/>
      <c r="D149" s="79"/>
      <c r="E149" s="79"/>
      <c r="F149" s="79"/>
      <c r="G149" s="79"/>
      <c r="H149" s="79"/>
      <c r="I149" s="79"/>
      <c r="J149" s="79"/>
      <c r="K149" s="79"/>
      <c r="L149" s="79"/>
      <c r="M149" s="79"/>
    </row>
    <row r="150" spans="1:21" ht="15.6" x14ac:dyDescent="0.3">
      <c r="B150" s="88"/>
      <c r="C150" s="79"/>
      <c r="D150" s="79"/>
      <c r="E150" s="79"/>
      <c r="F150" s="79"/>
      <c r="G150" s="79"/>
      <c r="H150" s="79"/>
      <c r="I150" s="79"/>
      <c r="J150" s="79"/>
      <c r="K150" s="79"/>
      <c r="L150" s="79"/>
      <c r="M150" s="79"/>
    </row>
    <row r="151" spans="1:21" ht="15" customHeight="1" x14ac:dyDescent="0.25">
      <c r="B151" s="1112" t="s">
        <v>499</v>
      </c>
      <c r="C151" s="1112"/>
      <c r="D151" s="1112"/>
      <c r="E151" s="1112"/>
      <c r="F151" s="1112"/>
      <c r="G151" s="1112"/>
      <c r="H151" s="1112"/>
      <c r="I151" s="1112"/>
      <c r="J151" s="1112"/>
      <c r="K151" s="1112"/>
      <c r="L151" s="1112"/>
      <c r="M151" s="1112"/>
    </row>
    <row r="152" spans="1:21" s="5" customFormat="1" x14ac:dyDescent="0.25">
      <c r="A152" s="50"/>
      <c r="B152" s="1112"/>
      <c r="C152" s="1112"/>
      <c r="D152" s="1112"/>
      <c r="E152" s="1112"/>
      <c r="F152" s="1112"/>
      <c r="G152" s="1112"/>
      <c r="H152" s="1112"/>
      <c r="I152" s="1112"/>
      <c r="J152" s="1112"/>
      <c r="K152" s="1112"/>
      <c r="L152" s="1112"/>
      <c r="M152" s="1112"/>
      <c r="N152"/>
      <c r="O152"/>
      <c r="P152"/>
      <c r="Q152"/>
      <c r="R152"/>
      <c r="S152"/>
      <c r="T152"/>
      <c r="U152"/>
    </row>
    <row r="153" spans="1:21" ht="15.6" x14ac:dyDescent="0.3">
      <c r="B153" s="88"/>
      <c r="C153" s="79"/>
      <c r="D153" s="79"/>
      <c r="E153" s="1069" t="s">
        <v>290</v>
      </c>
      <c r="F153" s="1069"/>
      <c r="G153" s="1069"/>
      <c r="H153" s="1070" t="s">
        <v>113</v>
      </c>
      <c r="I153" s="1070"/>
      <c r="J153" s="1069" t="s">
        <v>291</v>
      </c>
      <c r="K153" s="1069"/>
      <c r="L153" s="1070" t="s">
        <v>113</v>
      </c>
      <c r="M153" s="1070"/>
    </row>
    <row r="154" spans="1:21" ht="33" customHeight="1" thickBot="1" x14ac:dyDescent="0.3">
      <c r="B154" s="78"/>
      <c r="C154" s="79"/>
      <c r="D154" s="79"/>
      <c r="E154" s="79"/>
      <c r="F154" s="79"/>
      <c r="G154" s="79"/>
      <c r="H154" s="79"/>
      <c r="I154" s="79"/>
      <c r="J154" s="79"/>
      <c r="K154" s="79"/>
      <c r="L154" s="79"/>
      <c r="M154" s="79"/>
      <c r="N154" s="5"/>
      <c r="O154" s="5"/>
      <c r="P154" s="5"/>
      <c r="Q154" s="5"/>
      <c r="R154" s="5"/>
      <c r="S154" s="5"/>
      <c r="T154" s="5"/>
      <c r="U154" s="5"/>
    </row>
    <row r="155" spans="1:21" ht="13.8" thickBot="1" x14ac:dyDescent="0.3">
      <c r="B155" s="79"/>
      <c r="C155" s="80" t="s">
        <v>292</v>
      </c>
      <c r="D155" s="79"/>
      <c r="E155" s="79"/>
      <c r="F155" s="91">
        <v>2</v>
      </c>
      <c r="G155" s="82" t="s">
        <v>293</v>
      </c>
      <c r="H155" s="93">
        <v>14.5</v>
      </c>
      <c r="I155" s="82" t="s">
        <v>294</v>
      </c>
      <c r="J155" s="92"/>
      <c r="K155" s="82" t="s">
        <v>293</v>
      </c>
      <c r="L155" s="93">
        <v>14.5</v>
      </c>
      <c r="M155" s="82" t="s">
        <v>294</v>
      </c>
    </row>
    <row r="156" spans="1:21" ht="13.8" thickBot="1" x14ac:dyDescent="0.3">
      <c r="B156" s="79"/>
      <c r="C156" s="80" t="s">
        <v>524</v>
      </c>
      <c r="D156" s="79"/>
      <c r="E156" s="79"/>
      <c r="F156" s="91">
        <v>4</v>
      </c>
      <c r="G156" s="82" t="s">
        <v>293</v>
      </c>
      <c r="H156" s="90">
        <f>H155</f>
        <v>14.5</v>
      </c>
      <c r="I156" s="82" t="s">
        <v>294</v>
      </c>
      <c r="J156" s="92"/>
      <c r="K156" s="82" t="s">
        <v>293</v>
      </c>
      <c r="L156" s="90">
        <f>L155</f>
        <v>14.5</v>
      </c>
      <c r="M156" s="82" t="s">
        <v>294</v>
      </c>
    </row>
    <row r="157" spans="1:21" ht="13.8" thickBot="1" x14ac:dyDescent="0.3">
      <c r="B157" s="79"/>
      <c r="C157" s="80" t="s">
        <v>535</v>
      </c>
      <c r="D157" s="79"/>
      <c r="E157" s="79"/>
      <c r="F157" s="91">
        <v>6</v>
      </c>
      <c r="G157" s="82" t="s">
        <v>293</v>
      </c>
      <c r="H157" s="90">
        <f t="shared" ref="H157:H172" si="15">H156</f>
        <v>14.5</v>
      </c>
      <c r="I157" s="82" t="s">
        <v>294</v>
      </c>
      <c r="J157" s="92"/>
      <c r="K157" s="82" t="s">
        <v>293</v>
      </c>
      <c r="L157" s="90">
        <f t="shared" ref="L157:L172" si="16">L156</f>
        <v>14.5</v>
      </c>
      <c r="M157" s="82" t="s">
        <v>294</v>
      </c>
    </row>
    <row r="158" spans="1:21" ht="13.8" thickBot="1" x14ac:dyDescent="0.3">
      <c r="B158" s="79"/>
      <c r="C158" s="80" t="s">
        <v>539</v>
      </c>
      <c r="D158" s="79"/>
      <c r="E158" s="79"/>
      <c r="F158" s="91">
        <v>4</v>
      </c>
      <c r="G158" s="82" t="s">
        <v>293</v>
      </c>
      <c r="H158" s="90">
        <f t="shared" si="15"/>
        <v>14.5</v>
      </c>
      <c r="I158" s="82" t="s">
        <v>294</v>
      </c>
      <c r="J158" s="92"/>
      <c r="K158" s="82" t="s">
        <v>293</v>
      </c>
      <c r="L158" s="90">
        <f t="shared" si="16"/>
        <v>14.5</v>
      </c>
      <c r="M158" s="82" t="s">
        <v>294</v>
      </c>
    </row>
    <row r="159" spans="1:21" ht="13.8" thickBot="1" x14ac:dyDescent="0.3">
      <c r="B159" s="79"/>
      <c r="C159" s="80" t="s">
        <v>381</v>
      </c>
      <c r="D159" s="79"/>
      <c r="E159" s="79"/>
      <c r="F159" s="91">
        <v>5</v>
      </c>
      <c r="G159" s="82" t="s">
        <v>293</v>
      </c>
      <c r="H159" s="90">
        <f t="shared" si="15"/>
        <v>14.5</v>
      </c>
      <c r="I159" s="82" t="s">
        <v>294</v>
      </c>
      <c r="J159" s="92"/>
      <c r="K159" s="82" t="s">
        <v>293</v>
      </c>
      <c r="L159" s="90">
        <f t="shared" si="16"/>
        <v>14.5</v>
      </c>
      <c r="M159" s="82" t="s">
        <v>294</v>
      </c>
    </row>
    <row r="160" spans="1:21" ht="13.8" thickBot="1" x14ac:dyDescent="0.3">
      <c r="B160" s="79"/>
      <c r="C160" s="80" t="s">
        <v>501</v>
      </c>
      <c r="D160" s="79"/>
      <c r="E160" s="79"/>
      <c r="F160" s="91">
        <v>8</v>
      </c>
      <c r="G160" s="82" t="s">
        <v>293</v>
      </c>
      <c r="H160" s="90">
        <f t="shared" si="15"/>
        <v>14.5</v>
      </c>
      <c r="I160" s="82" t="s">
        <v>294</v>
      </c>
      <c r="J160" s="92"/>
      <c r="K160" s="82" t="s">
        <v>293</v>
      </c>
      <c r="L160" s="90">
        <f t="shared" si="16"/>
        <v>14.5</v>
      </c>
      <c r="M160" s="82" t="s">
        <v>294</v>
      </c>
    </row>
    <row r="161" spans="1:21" ht="13.8" thickBot="1" x14ac:dyDescent="0.3">
      <c r="B161" s="79"/>
      <c r="C161" s="80" t="s">
        <v>502</v>
      </c>
      <c r="D161" s="79"/>
      <c r="E161" s="79"/>
      <c r="F161" s="91">
        <v>4</v>
      </c>
      <c r="G161" s="82" t="s">
        <v>293</v>
      </c>
      <c r="H161" s="90">
        <f t="shared" si="15"/>
        <v>14.5</v>
      </c>
      <c r="I161" s="82" t="s">
        <v>294</v>
      </c>
      <c r="J161" s="92"/>
      <c r="K161" s="82" t="s">
        <v>293</v>
      </c>
      <c r="L161" s="90">
        <f t="shared" si="16"/>
        <v>14.5</v>
      </c>
      <c r="M161" s="82" t="s">
        <v>294</v>
      </c>
    </row>
    <row r="162" spans="1:21" s="5" customFormat="1" ht="13.8" thickBot="1" x14ac:dyDescent="0.3">
      <c r="A162" s="50"/>
      <c r="B162" s="79"/>
      <c r="C162" s="80" t="s">
        <v>503</v>
      </c>
      <c r="D162" s="79"/>
      <c r="E162" s="79"/>
      <c r="F162" s="91">
        <v>20</v>
      </c>
      <c r="G162" s="82" t="s">
        <v>293</v>
      </c>
      <c r="H162" s="90">
        <f t="shared" si="15"/>
        <v>14.5</v>
      </c>
      <c r="I162" s="82" t="s">
        <v>294</v>
      </c>
      <c r="J162" s="92"/>
      <c r="K162" s="82" t="s">
        <v>293</v>
      </c>
      <c r="L162" s="90">
        <f t="shared" si="16"/>
        <v>14.5</v>
      </c>
      <c r="M162" s="82" t="s">
        <v>294</v>
      </c>
      <c r="N162"/>
      <c r="O162"/>
      <c r="P162"/>
      <c r="Q162"/>
      <c r="R162"/>
      <c r="S162"/>
      <c r="T162"/>
      <c r="U162"/>
    </row>
    <row r="163" spans="1:21" ht="13.8" thickBot="1" x14ac:dyDescent="0.3">
      <c r="B163" s="79"/>
      <c r="C163" s="80" t="s">
        <v>504</v>
      </c>
      <c r="D163" s="79"/>
      <c r="E163" s="79"/>
      <c r="F163" s="91">
        <v>4</v>
      </c>
      <c r="G163" s="82" t="s">
        <v>293</v>
      </c>
      <c r="H163" s="90">
        <f t="shared" si="15"/>
        <v>14.5</v>
      </c>
      <c r="I163" s="82" t="s">
        <v>294</v>
      </c>
      <c r="J163" s="92"/>
      <c r="K163" s="82" t="s">
        <v>293</v>
      </c>
      <c r="L163" s="90">
        <f t="shared" si="16"/>
        <v>14.5</v>
      </c>
      <c r="M163" s="82" t="s">
        <v>294</v>
      </c>
    </row>
    <row r="164" spans="1:21" ht="13.8" thickBot="1" x14ac:dyDescent="0.3">
      <c r="B164" s="79"/>
      <c r="C164" s="80" t="s">
        <v>526</v>
      </c>
      <c r="D164" s="79"/>
      <c r="E164" s="79"/>
      <c r="F164" s="91">
        <v>4</v>
      </c>
      <c r="G164" s="82" t="s">
        <v>293</v>
      </c>
      <c r="H164" s="90">
        <f t="shared" si="15"/>
        <v>14.5</v>
      </c>
      <c r="I164" s="82" t="s">
        <v>294</v>
      </c>
      <c r="J164" s="92"/>
      <c r="K164" s="82" t="s">
        <v>293</v>
      </c>
      <c r="L164" s="90">
        <f t="shared" si="16"/>
        <v>14.5</v>
      </c>
      <c r="M164" s="82" t="s">
        <v>294</v>
      </c>
      <c r="N164" s="5"/>
      <c r="O164" s="5"/>
      <c r="P164" s="5"/>
      <c r="Q164" s="5"/>
      <c r="R164" s="5"/>
      <c r="S164" s="5"/>
      <c r="T164" s="5"/>
      <c r="U164" s="5"/>
    </row>
    <row r="165" spans="1:21" ht="13.8" thickBot="1" x14ac:dyDescent="0.3">
      <c r="B165" s="79"/>
      <c r="C165" s="80" t="s">
        <v>303</v>
      </c>
      <c r="D165" s="79"/>
      <c r="E165" s="79"/>
      <c r="F165" s="91">
        <v>8</v>
      </c>
      <c r="G165" s="82" t="s">
        <v>293</v>
      </c>
      <c r="H165" s="90">
        <f t="shared" si="15"/>
        <v>14.5</v>
      </c>
      <c r="I165" s="82" t="s">
        <v>294</v>
      </c>
      <c r="J165" s="92"/>
      <c r="K165" s="82" t="s">
        <v>293</v>
      </c>
      <c r="L165" s="90">
        <f t="shared" si="16"/>
        <v>14.5</v>
      </c>
      <c r="M165" s="82" t="s">
        <v>294</v>
      </c>
    </row>
    <row r="166" spans="1:21" ht="13.8" thickBot="1" x14ac:dyDescent="0.3">
      <c r="B166" s="79"/>
      <c r="C166" s="80" t="s">
        <v>38</v>
      </c>
      <c r="D166" s="79"/>
      <c r="E166" s="79"/>
      <c r="F166" s="91">
        <v>20</v>
      </c>
      <c r="G166" s="82" t="s">
        <v>293</v>
      </c>
      <c r="H166" s="90">
        <f t="shared" si="15"/>
        <v>14.5</v>
      </c>
      <c r="I166" s="82" t="s">
        <v>294</v>
      </c>
      <c r="J166" s="92">
        <v>20</v>
      </c>
      <c r="K166" s="82" t="s">
        <v>293</v>
      </c>
      <c r="L166" s="90">
        <f t="shared" si="16"/>
        <v>14.5</v>
      </c>
      <c r="M166" s="82" t="s">
        <v>294</v>
      </c>
    </row>
    <row r="167" spans="1:21" ht="13.8" thickBot="1" x14ac:dyDescent="0.3">
      <c r="B167" s="79"/>
      <c r="C167" s="80" t="s">
        <v>458</v>
      </c>
      <c r="D167" s="79"/>
      <c r="E167" s="79"/>
      <c r="F167" s="91">
        <v>10</v>
      </c>
      <c r="G167" s="82" t="s">
        <v>293</v>
      </c>
      <c r="H167" s="90">
        <f t="shared" si="15"/>
        <v>14.5</v>
      </c>
      <c r="I167" s="82" t="s">
        <v>294</v>
      </c>
      <c r="J167" s="92"/>
      <c r="K167" s="82" t="s">
        <v>293</v>
      </c>
      <c r="L167" s="90">
        <f t="shared" si="16"/>
        <v>14.5</v>
      </c>
      <c r="M167" s="82" t="s">
        <v>294</v>
      </c>
    </row>
    <row r="168" spans="1:21" ht="13.8" thickBot="1" x14ac:dyDescent="0.3">
      <c r="B168" s="79"/>
      <c r="C168" s="80" t="s">
        <v>306</v>
      </c>
      <c r="D168" s="79"/>
      <c r="E168" s="79"/>
      <c r="F168" s="92">
        <v>40</v>
      </c>
      <c r="G168" s="82" t="s">
        <v>293</v>
      </c>
      <c r="H168" s="90">
        <f t="shared" si="15"/>
        <v>14.5</v>
      </c>
      <c r="I168" s="82" t="s">
        <v>294</v>
      </c>
      <c r="J168" s="92">
        <v>40</v>
      </c>
      <c r="K168" s="82" t="s">
        <v>293</v>
      </c>
      <c r="L168" s="90">
        <f t="shared" si="16"/>
        <v>14.5</v>
      </c>
      <c r="M168" s="82" t="s">
        <v>294</v>
      </c>
    </row>
    <row r="169" spans="1:21" ht="13.8" thickBot="1" x14ac:dyDescent="0.3">
      <c r="B169" s="79"/>
      <c r="C169" s="80" t="s">
        <v>307</v>
      </c>
      <c r="D169" s="79"/>
      <c r="E169" s="79"/>
      <c r="F169" s="92">
        <v>10</v>
      </c>
      <c r="G169" s="82" t="s">
        <v>293</v>
      </c>
      <c r="H169" s="90">
        <f t="shared" si="15"/>
        <v>14.5</v>
      </c>
      <c r="I169" s="82" t="s">
        <v>294</v>
      </c>
      <c r="J169" s="92"/>
      <c r="K169" s="82" t="s">
        <v>293</v>
      </c>
      <c r="L169" s="90">
        <f t="shared" si="16"/>
        <v>14.5</v>
      </c>
      <c r="M169" s="82" t="s">
        <v>294</v>
      </c>
    </row>
    <row r="170" spans="1:21" ht="13.8" thickBot="1" x14ac:dyDescent="0.3">
      <c r="B170" s="79"/>
      <c r="C170" s="80" t="s">
        <v>308</v>
      </c>
      <c r="D170" s="79"/>
      <c r="E170" s="79"/>
      <c r="F170" s="92"/>
      <c r="G170" s="82" t="s">
        <v>293</v>
      </c>
      <c r="H170" s="90">
        <f t="shared" si="15"/>
        <v>14.5</v>
      </c>
      <c r="I170" s="82" t="s">
        <v>294</v>
      </c>
      <c r="J170" s="75"/>
      <c r="K170" s="82" t="s">
        <v>293</v>
      </c>
      <c r="L170" s="90">
        <f t="shared" si="16"/>
        <v>14.5</v>
      </c>
      <c r="M170" s="82" t="s">
        <v>294</v>
      </c>
    </row>
    <row r="171" spans="1:21" ht="13.8" thickBot="1" x14ac:dyDescent="0.3">
      <c r="B171" s="79"/>
      <c r="C171" s="80" t="s">
        <v>308</v>
      </c>
      <c r="D171" s="79"/>
      <c r="E171" s="79"/>
      <c r="F171" s="92"/>
      <c r="G171" s="82" t="s">
        <v>293</v>
      </c>
      <c r="H171" s="90">
        <f t="shared" si="15"/>
        <v>14.5</v>
      </c>
      <c r="I171" s="82" t="s">
        <v>294</v>
      </c>
      <c r="J171" s="75"/>
      <c r="K171" s="82" t="s">
        <v>293</v>
      </c>
      <c r="L171" s="90">
        <f t="shared" si="16"/>
        <v>14.5</v>
      </c>
      <c r="M171" s="82" t="s">
        <v>294</v>
      </c>
    </row>
    <row r="172" spans="1:21" ht="13.8" thickBot="1" x14ac:dyDescent="0.3">
      <c r="B172" s="79"/>
      <c r="C172" s="80" t="s">
        <v>308</v>
      </c>
      <c r="D172" s="81"/>
      <c r="E172" s="81"/>
      <c r="F172" s="75"/>
      <c r="G172" s="82" t="s">
        <v>293</v>
      </c>
      <c r="H172" s="90">
        <f t="shared" si="15"/>
        <v>14.5</v>
      </c>
      <c r="I172" s="82" t="s">
        <v>294</v>
      </c>
      <c r="J172" s="75"/>
      <c r="K172" s="82" t="s">
        <v>293</v>
      </c>
      <c r="L172" s="90">
        <f t="shared" si="16"/>
        <v>14.5</v>
      </c>
      <c r="M172" s="82" t="s">
        <v>294</v>
      </c>
    </row>
    <row r="173" spans="1:21" x14ac:dyDescent="0.25">
      <c r="B173" s="209"/>
      <c r="C173" s="210" t="s">
        <v>54</v>
      </c>
      <c r="D173" s="211"/>
      <c r="E173" s="211"/>
      <c r="F173" s="212">
        <f>SUM(F155:F172)</f>
        <v>149</v>
      </c>
      <c r="G173" s="209" t="s">
        <v>293</v>
      </c>
      <c r="H173" s="213">
        <f>F173*H155</f>
        <v>2160.5</v>
      </c>
      <c r="I173" s="209" t="s">
        <v>57</v>
      </c>
      <c r="J173" s="212">
        <f>SUM(J155:J172)</f>
        <v>60</v>
      </c>
      <c r="K173" s="209" t="s">
        <v>293</v>
      </c>
      <c r="L173" s="213">
        <f>J173*L155</f>
        <v>870</v>
      </c>
      <c r="M173" s="209" t="s">
        <v>57</v>
      </c>
    </row>
    <row r="175" spans="1:21" ht="40.200000000000003" customHeight="1" x14ac:dyDescent="0.25">
      <c r="N175" s="5"/>
      <c r="O175" s="5"/>
      <c r="P175" s="5"/>
      <c r="Q175" s="5"/>
      <c r="R175" s="5"/>
      <c r="S175" s="5"/>
      <c r="T175" s="5"/>
      <c r="U175" s="5"/>
    </row>
    <row r="178" spans="1:21" ht="37.950000000000003" customHeight="1" x14ac:dyDescent="0.25"/>
    <row r="190" spans="1:21" s="5" customFormat="1" x14ac:dyDescent="0.25">
      <c r="A190" s="50"/>
      <c r="B190"/>
      <c r="C190"/>
      <c r="D190"/>
      <c r="E190"/>
      <c r="F190"/>
      <c r="G190"/>
      <c r="H190"/>
      <c r="I190"/>
      <c r="J190"/>
      <c r="K190"/>
      <c r="L190"/>
      <c r="M190"/>
      <c r="N190"/>
      <c r="O190"/>
      <c r="P190"/>
      <c r="Q190"/>
      <c r="R190"/>
      <c r="S190"/>
      <c r="T190"/>
      <c r="U190"/>
    </row>
    <row r="192" spans="1:21" x14ac:dyDescent="0.25">
      <c r="N192" s="5"/>
      <c r="O192" s="5"/>
      <c r="P192" s="5"/>
      <c r="Q192" s="5"/>
      <c r="R192" s="5"/>
      <c r="S192" s="5"/>
      <c r="T192" s="5"/>
      <c r="U192" s="5"/>
    </row>
  </sheetData>
  <mergeCells count="45">
    <mergeCell ref="L153:M153"/>
    <mergeCell ref="B151:M152"/>
    <mergeCell ref="F108:G108"/>
    <mergeCell ref="H108:I108"/>
    <mergeCell ref="J108:K108"/>
    <mergeCell ref="F121:G121"/>
    <mergeCell ref="H121:I121"/>
    <mergeCell ref="J121:K121"/>
    <mergeCell ref="F129:G129"/>
    <mergeCell ref="H129:I129"/>
    <mergeCell ref="J129:K129"/>
    <mergeCell ref="E153:G153"/>
    <mergeCell ref="H153:I153"/>
    <mergeCell ref="J153:K153"/>
    <mergeCell ref="L69:M69"/>
    <mergeCell ref="F76:G76"/>
    <mergeCell ref="H76:I76"/>
    <mergeCell ref="J76:K76"/>
    <mergeCell ref="F87:G87"/>
    <mergeCell ref="H87:I87"/>
    <mergeCell ref="J87:K87"/>
    <mergeCell ref="F71:G71"/>
    <mergeCell ref="H71:I71"/>
    <mergeCell ref="J71:K71"/>
    <mergeCell ref="B57:D57"/>
    <mergeCell ref="B64:D64"/>
    <mergeCell ref="B66:D66"/>
    <mergeCell ref="B69:E69"/>
    <mergeCell ref="B38:D38"/>
    <mergeCell ref="C41:D41"/>
    <mergeCell ref="B45:D45"/>
    <mergeCell ref="C48:D48"/>
    <mergeCell ref="B52:C52"/>
    <mergeCell ref="C55:D55"/>
    <mergeCell ref="B2:C2"/>
    <mergeCell ref="O9:Q9"/>
    <mergeCell ref="T9:U9"/>
    <mergeCell ref="B11:D11"/>
    <mergeCell ref="O18:Q18"/>
    <mergeCell ref="B4:L5"/>
    <mergeCell ref="B26:E26"/>
    <mergeCell ref="B27:E27"/>
    <mergeCell ref="B28:D28"/>
    <mergeCell ref="B31:C31"/>
    <mergeCell ref="C34:D34"/>
  </mergeCells>
  <hyperlinks>
    <hyperlink ref="B2" location="Tilakokonaisuus!A1" display="PALAA ETUSIVULLE" xr:uid="{D2E9FB89-E372-2848-8D37-11D0DD9AE1F9}"/>
    <hyperlink ref="B2:C2" location="'Gårdens info'!A1" display="TILL FRAMSIDAN" xr:uid="{9F66DA04-6884-074D-9E2C-C87E22419CBA}"/>
    <hyperlink ref="B26:E26" location="'Gårdens info'!C97" display="ALMÄNNA KOSTNADER, grönsakens andel" xr:uid="{D2DC7D4B-86F3-E844-B931-8CB6E56D7184}"/>
    <hyperlink ref="B31:C31" location="Omaisuus!B15" display="RAKENNUKSET" xr:uid="{B7291580-B3D9-484E-974F-DB88465292BE}"/>
    <hyperlink ref="B38:D38" location="Omaisuus!B28" display="KONEET JA KALUSTO" xr:uid="{25A42E58-D8FC-EB43-8AFB-94C034E3F0DB}"/>
    <hyperlink ref="B45:D45" location="Omaisuus!B51" display="PIDEMPIAIKAISET TUOTANTOVÄLINEET" xr:uid="{ED78C32B-3CFF-B14C-8B97-1A563FD9EFB0}"/>
    <hyperlink ref="B52:C52" location="Omaisuus!B70" display="SALAOJAT" xr:uid="{FCE20B7B-AF06-B14F-9DB3-124F18C735F3}"/>
    <hyperlink ref="L69" location="'Avomaan mansikka'!B2" display="PALAA SIVUN YLÄLAITAAN" xr:uid="{5818C712-A59E-B64B-BA04-49A38FA14596}"/>
    <hyperlink ref="L69:M69" location="'Grönsak från frö 2'!A1" display="TILL SIDANS BÖRJAN" xr:uid="{8C14E0F1-73C6-5C48-BFA2-6A5D0B918B4E}"/>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02B9-CCA8-1740-A4D7-A30113197B22}">
  <sheetPr>
    <tabColor theme="7" tint="0.79998168889431442"/>
  </sheetPr>
  <dimension ref="A1:AC188"/>
  <sheetViews>
    <sheetView topLeftCell="A9" zoomScale="89" workbookViewId="0">
      <selection activeCell="B5" sqref="B5"/>
    </sheetView>
  </sheetViews>
  <sheetFormatPr defaultColWidth="11.44140625" defaultRowHeight="13.2" x14ac:dyDescent="0.25"/>
  <cols>
    <col min="1" max="1" width="5.33203125" style="79"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8.44140625" customWidth="1"/>
    <col min="16" max="16" width="4.44140625" customWidth="1"/>
    <col min="17" max="17" width="15" customWidth="1"/>
    <col min="18" max="18" width="5.109375" customWidth="1"/>
    <col min="19" max="19" width="18.33203125" bestFit="1" customWidth="1"/>
  </cols>
  <sheetData>
    <row r="1" spans="1:21" s="79" customFormat="1" ht="22.8" x14ac:dyDescent="0.4">
      <c r="B1" s="646" t="s">
        <v>18</v>
      </c>
    </row>
    <row r="2" spans="1:21" ht="27" customHeight="1" x14ac:dyDescent="0.3">
      <c r="B2" s="1094" t="s">
        <v>201</v>
      </c>
      <c r="C2" s="1094"/>
      <c r="F2" s="69"/>
      <c r="G2" s="69"/>
      <c r="H2" s="69"/>
    </row>
    <row r="3" spans="1:21" ht="27" customHeight="1" x14ac:dyDescent="0.3">
      <c r="B3" s="189"/>
      <c r="C3" s="189"/>
    </row>
    <row r="4" spans="1:21" ht="36" customHeight="1" x14ac:dyDescent="0.3">
      <c r="B4" s="1109" t="s">
        <v>375</v>
      </c>
      <c r="C4" s="1109"/>
      <c r="D4" s="1109"/>
      <c r="E4" s="1109"/>
      <c r="F4" s="1109"/>
      <c r="G4" s="1109"/>
      <c r="H4" s="1109"/>
      <c r="I4" s="1109"/>
      <c r="J4" s="1109"/>
      <c r="K4" s="1109"/>
      <c r="L4" s="1109"/>
    </row>
    <row r="5" spans="1:21" ht="27" customHeight="1" thickBot="1" x14ac:dyDescent="0.35">
      <c r="B5" s="189"/>
      <c r="C5" s="189"/>
    </row>
    <row r="6" spans="1:21" ht="27" customHeight="1" x14ac:dyDescent="0.4">
      <c r="B6" s="256" t="s">
        <v>540</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H9*'Gårdens info'!G19</f>
        <v>0</v>
      </c>
      <c r="G9" s="119" t="s">
        <v>57</v>
      </c>
      <c r="H9" s="508">
        <f>IF('Gårdens info'!G19&gt;0,(('Gårdens info'!D19*'Gårdens info'!G19*S10*T10)+('Gårdens info'!D19*'Gårdens info'!G19*S11*T11)+('Gårdens info'!D19*'Gårdens info'!G19*S12*T12)+('Gårdens info'!D19*'Gårdens info'!G19*S13*T13)+('Gårdens info'!D19*'Gårdens info'!G19*S14*T14)+('Gårdens info'!D19*'Gårdens info'!G19*S15*T15)+('Gårdens info'!D19*'Gårdens info'!G19*S16*T16)+('Gårdens info'!D19*'Gårdens info'!G19*S17*T17))/(('Gårdens info'!D19*'Gårdens info'!G19)),0)</f>
        <v>0</v>
      </c>
      <c r="I9" s="119" t="s">
        <v>206</v>
      </c>
      <c r="J9" s="229">
        <f>F9*'Gårdens info'!D19</f>
        <v>0</v>
      </c>
      <c r="K9" s="119" t="s">
        <v>529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info'!D19&gt;0,Stöd!L15,0)</f>
        <v>0</v>
      </c>
      <c r="G10" s="119" t="s">
        <v>57</v>
      </c>
      <c r="H10" s="508">
        <f>IF('Gårdens info'!G19&gt;0,F10/'Gårdens info'!G19,0)</f>
        <v>0</v>
      </c>
      <c r="I10" s="119" t="s">
        <v>206</v>
      </c>
      <c r="J10" s="229">
        <f>F10*'Gårdens info'!D19</f>
        <v>0</v>
      </c>
      <c r="K10" s="119" t="s">
        <v>529</v>
      </c>
      <c r="L10" s="119"/>
      <c r="M10" s="226"/>
      <c r="N10" s="369"/>
      <c r="O10" s="119">
        <v>1</v>
      </c>
      <c r="P10" s="119" t="s">
        <v>212</v>
      </c>
      <c r="Q10" s="119" t="s">
        <v>213</v>
      </c>
      <c r="R10" s="119"/>
      <c r="S10" s="377">
        <v>0</v>
      </c>
      <c r="T10" s="255"/>
      <c r="U10" s="239" t="s">
        <v>206</v>
      </c>
    </row>
    <row r="11" spans="1:21" s="5" customFormat="1" ht="21.6" customHeight="1" thickBot="1" x14ac:dyDescent="0.45">
      <c r="A11" s="209"/>
      <c r="B11" s="1061" t="s">
        <v>214</v>
      </c>
      <c r="C11" s="1043"/>
      <c r="D11" s="1043"/>
      <c r="E11" s="262"/>
      <c r="F11" s="266">
        <f>F9+F10</f>
        <v>0</v>
      </c>
      <c r="G11" s="267" t="s">
        <v>57</v>
      </c>
      <c r="H11" s="507">
        <f>H9+H10</f>
        <v>0</v>
      </c>
      <c r="I11" s="267" t="s">
        <v>206</v>
      </c>
      <c r="J11" s="269">
        <f>J9+J10</f>
        <v>0</v>
      </c>
      <c r="K11" s="267" t="s">
        <v>529</v>
      </c>
      <c r="L11" s="267"/>
      <c r="M11" s="259"/>
      <c r="N11" s="370"/>
      <c r="O11" s="119">
        <v>0.25</v>
      </c>
      <c r="P11" s="119" t="s">
        <v>212</v>
      </c>
      <c r="Q11" s="119" t="s">
        <v>333</v>
      </c>
      <c r="R11" s="119"/>
      <c r="S11" s="379">
        <v>0</v>
      </c>
      <c r="T11" s="255"/>
      <c r="U11" s="239" t="s">
        <v>206</v>
      </c>
    </row>
    <row r="12" spans="1:21" s="5" customFormat="1" ht="21.6" thickBot="1" x14ac:dyDescent="0.45">
      <c r="A12" s="209"/>
      <c r="B12" s="288"/>
      <c r="C12" s="270"/>
      <c r="D12" s="270"/>
      <c r="E12" s="262"/>
      <c r="F12" s="266"/>
      <c r="G12" s="267"/>
      <c r="H12" s="268"/>
      <c r="I12" s="267"/>
      <c r="J12" s="269"/>
      <c r="K12" s="267"/>
      <c r="L12" s="267"/>
      <c r="M12" s="259"/>
      <c r="N12" s="370"/>
      <c r="O12" s="119">
        <v>0.5</v>
      </c>
      <c r="P12" s="119" t="s">
        <v>212</v>
      </c>
      <c r="Q12" s="119" t="s">
        <v>213</v>
      </c>
      <c r="R12" s="119"/>
      <c r="S12" s="379">
        <v>0</v>
      </c>
      <c r="T12" s="255"/>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1</v>
      </c>
      <c r="T13" s="255">
        <v>0.76</v>
      </c>
      <c r="U13" s="239" t="s">
        <v>206</v>
      </c>
    </row>
    <row r="14" spans="1:21" ht="21.6" thickBot="1" x14ac:dyDescent="0.45">
      <c r="B14" s="257" t="s">
        <v>186</v>
      </c>
      <c r="C14" s="225"/>
      <c r="D14" s="116"/>
      <c r="E14" s="116"/>
      <c r="F14" s="116"/>
      <c r="G14" s="116"/>
      <c r="H14" s="116"/>
      <c r="I14" s="116"/>
      <c r="J14" s="232"/>
      <c r="K14" s="116"/>
      <c r="L14" s="116"/>
      <c r="M14" s="226"/>
      <c r="N14" s="369"/>
      <c r="O14" s="651">
        <f>D111</f>
        <v>0</v>
      </c>
      <c r="P14" s="119" t="s">
        <v>212</v>
      </c>
      <c r="Q14" s="298" t="s">
        <v>511</v>
      </c>
      <c r="R14" s="119"/>
      <c r="S14" s="379">
        <v>0</v>
      </c>
      <c r="T14" s="255"/>
      <c r="U14" s="239" t="s">
        <v>206</v>
      </c>
    </row>
    <row r="15" spans="1:21" s="56" customFormat="1" ht="16.95" customHeight="1" thickBot="1" x14ac:dyDescent="0.35">
      <c r="A15" s="78"/>
      <c r="B15" s="235"/>
      <c r="C15" s="245"/>
      <c r="D15" s="249"/>
      <c r="E15" s="249"/>
      <c r="F15" s="250"/>
      <c r="G15" s="120"/>
      <c r="H15" s="249"/>
      <c r="I15" s="249"/>
      <c r="J15" s="249"/>
      <c r="K15" s="249"/>
      <c r="L15" s="249"/>
      <c r="M15" s="234"/>
      <c r="N15" s="369"/>
      <c r="O15" s="651">
        <f t="shared" ref="O15:O17" si="0">D112</f>
        <v>0</v>
      </c>
      <c r="P15" s="119" t="s">
        <v>212</v>
      </c>
      <c r="Q15" s="298" t="s">
        <v>511</v>
      </c>
      <c r="R15" s="119"/>
      <c r="S15" s="379">
        <v>0</v>
      </c>
      <c r="T15" s="255"/>
      <c r="U15" s="239" t="s">
        <v>206</v>
      </c>
    </row>
    <row r="16" spans="1:21" s="69" customFormat="1" ht="16.95" customHeight="1" thickBot="1" x14ac:dyDescent="0.3">
      <c r="A16" s="78"/>
      <c r="B16" s="235"/>
      <c r="C16" s="228" t="s">
        <v>382</v>
      </c>
      <c r="D16" s="236"/>
      <c r="E16" s="236"/>
      <c r="F16" s="247">
        <f>IF('Gårdens info'!D19&gt;0,J73,0)</f>
        <v>0</v>
      </c>
      <c r="G16" s="119" t="s">
        <v>57</v>
      </c>
      <c r="H16" s="503">
        <f>IF('Gårdens info'!$G$19&gt;0,F16/'Gårdens info'!$G$19,)</f>
        <v>0</v>
      </c>
      <c r="I16" s="119" t="s">
        <v>206</v>
      </c>
      <c r="J16" s="237">
        <f>F16*'Gårdens info'!$D$19</f>
        <v>0</v>
      </c>
      <c r="K16" s="119" t="s">
        <v>529</v>
      </c>
      <c r="L16" s="236"/>
      <c r="M16" s="239"/>
      <c r="N16" s="227"/>
      <c r="O16" s="651">
        <f t="shared" si="0"/>
        <v>0</v>
      </c>
      <c r="P16" s="119"/>
      <c r="Q16" s="298" t="s">
        <v>511</v>
      </c>
      <c r="R16" s="119"/>
      <c r="S16" s="379">
        <v>0</v>
      </c>
      <c r="T16" s="255"/>
      <c r="U16" s="239" t="s">
        <v>206</v>
      </c>
    </row>
    <row r="17" spans="1:29" s="69" customFormat="1" ht="15.6" thickBot="1" x14ac:dyDescent="0.3">
      <c r="A17" s="78"/>
      <c r="B17" s="235"/>
      <c r="C17" s="228" t="s">
        <v>219</v>
      </c>
      <c r="D17" s="236"/>
      <c r="E17" s="236"/>
      <c r="F17" s="237">
        <f>IF('Gårdens info'!D19&gt;0,J83,0)</f>
        <v>0</v>
      </c>
      <c r="G17" s="119" t="s">
        <v>57</v>
      </c>
      <c r="H17" s="503">
        <f>IF('Gårdens info'!$G$19&gt;0,F17/'Gårdens info'!$G$19,)</f>
        <v>0</v>
      </c>
      <c r="I17" s="119" t="s">
        <v>206</v>
      </c>
      <c r="J17" s="237">
        <f>F17*'Gårdens info'!$D$19</f>
        <v>0</v>
      </c>
      <c r="K17" s="119" t="s">
        <v>529</v>
      </c>
      <c r="L17" s="236"/>
      <c r="M17" s="239"/>
      <c r="N17" s="369"/>
      <c r="O17" s="651">
        <f t="shared" si="0"/>
        <v>0</v>
      </c>
      <c r="P17" s="119" t="s">
        <v>212</v>
      </c>
      <c r="Q17" s="298" t="s">
        <v>511</v>
      </c>
      <c r="R17" s="119"/>
      <c r="S17" s="378">
        <v>0</v>
      </c>
      <c r="T17" s="255"/>
      <c r="U17" s="239" t="s">
        <v>206</v>
      </c>
    </row>
    <row r="18" spans="1:29" s="69" customFormat="1" ht="17.399999999999999" x14ac:dyDescent="0.3">
      <c r="A18" s="78"/>
      <c r="B18" s="235"/>
      <c r="C18" s="228" t="s">
        <v>220</v>
      </c>
      <c r="D18" s="236"/>
      <c r="E18" s="236"/>
      <c r="F18" s="237">
        <f>IF('Gårdens info'!D19&gt;0,J102,0)</f>
        <v>0</v>
      </c>
      <c r="G18" s="119" t="s">
        <v>57</v>
      </c>
      <c r="H18" s="503">
        <f>IF('Gårdens info'!$G$19&gt;0,F18/'Gårdens info'!$G$19,)</f>
        <v>0</v>
      </c>
      <c r="I18" s="119" t="s">
        <v>206</v>
      </c>
      <c r="J18" s="237">
        <f>F18*'Gårdens info'!$D$19</f>
        <v>0</v>
      </c>
      <c r="K18" s="119" t="s">
        <v>529</v>
      </c>
      <c r="L18" s="236"/>
      <c r="M18" s="239"/>
      <c r="N18" s="371"/>
      <c r="O18" s="1088" t="s">
        <v>54</v>
      </c>
      <c r="P18" s="1088"/>
      <c r="Q18" s="1088"/>
      <c r="R18" s="120"/>
      <c r="S18" s="375">
        <f>SUM(S10:S17)</f>
        <v>1</v>
      </c>
      <c r="T18" s="120"/>
      <c r="U18" s="234"/>
    </row>
    <row r="19" spans="1:29" s="69" customFormat="1" ht="15.6" x14ac:dyDescent="0.3">
      <c r="A19" s="78"/>
      <c r="B19" s="235"/>
      <c r="C19" s="228" t="s">
        <v>221</v>
      </c>
      <c r="D19" s="236"/>
      <c r="E19" s="236"/>
      <c r="F19" s="237">
        <f>IF('Gårdens info'!D19&gt;0,J115,0)</f>
        <v>0</v>
      </c>
      <c r="G19" s="119" t="s">
        <v>57</v>
      </c>
      <c r="H19" s="503">
        <f>IF('Gårdens info'!$G$19&gt;0,F19/'Gårdens info'!$G$19,)</f>
        <v>0</v>
      </c>
      <c r="I19" s="119" t="s">
        <v>206</v>
      </c>
      <c r="J19" s="237">
        <f>F19*'Gårdens info'!$D$19</f>
        <v>0</v>
      </c>
      <c r="K19" s="119" t="s">
        <v>529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78"/>
      <c r="B20" s="235"/>
      <c r="C20" s="228" t="s">
        <v>222</v>
      </c>
      <c r="D20" s="236"/>
      <c r="E20" s="236"/>
      <c r="F20" s="237">
        <f>IF('Gårdens info'!D19&gt;0,J123,0)</f>
        <v>0</v>
      </c>
      <c r="G20" s="119" t="s">
        <v>57</v>
      </c>
      <c r="H20" s="503">
        <f>IF('Gårdens info'!$G$19&gt;0,F20/'Gårdens info'!$G$19,)</f>
        <v>0</v>
      </c>
      <c r="I20" s="119" t="s">
        <v>206</v>
      </c>
      <c r="J20" s="237">
        <f>F20*'Gårdens info'!$D$19</f>
        <v>0</v>
      </c>
      <c r="K20" s="119" t="s">
        <v>529</v>
      </c>
      <c r="L20" s="236"/>
      <c r="M20" s="239"/>
      <c r="N20" s="372"/>
      <c r="O20" s="373"/>
      <c r="P20" s="373"/>
      <c r="Q20" s="373"/>
      <c r="R20" s="373"/>
      <c r="S20" s="373"/>
      <c r="T20" s="373"/>
      <c r="U20" s="374"/>
    </row>
    <row r="21" spans="1:29" s="69" customFormat="1" ht="15" x14ac:dyDescent="0.25">
      <c r="A21" s="78"/>
      <c r="B21" s="235"/>
      <c r="C21" s="228" t="s">
        <v>223</v>
      </c>
      <c r="D21" s="236"/>
      <c r="E21" s="236"/>
      <c r="F21" s="237">
        <f>IF('Gårdens info'!D19&gt;0,J131,0)</f>
        <v>0</v>
      </c>
      <c r="G21" s="119" t="s">
        <v>57</v>
      </c>
      <c r="H21" s="503">
        <f>IF('Gårdens info'!$G$19&gt;0,F21/'Gårdens info'!$G$19,)</f>
        <v>0</v>
      </c>
      <c r="I21" s="119" t="s">
        <v>206</v>
      </c>
      <c r="J21" s="237">
        <f>F21*'Gårdens info'!$D$19</f>
        <v>0</v>
      </c>
      <c r="K21" s="119" t="s">
        <v>529</v>
      </c>
      <c r="L21" s="236"/>
      <c r="M21" s="239"/>
    </row>
    <row r="22" spans="1:29" s="69" customFormat="1" ht="15" x14ac:dyDescent="0.25">
      <c r="A22" s="78"/>
      <c r="B22" s="235"/>
      <c r="C22" s="228" t="s">
        <v>224</v>
      </c>
      <c r="D22" s="236"/>
      <c r="E22" s="236"/>
      <c r="F22" s="237">
        <f>IF('Gårdens info'!D19&gt;0,J143,0)</f>
        <v>0</v>
      </c>
      <c r="G22" s="119" t="s">
        <v>57</v>
      </c>
      <c r="H22" s="503">
        <f>IF('Gårdens info'!$G$19&gt;0,F22/'Gårdens info'!$G$19,)</f>
        <v>0</v>
      </c>
      <c r="I22" s="119" t="s">
        <v>206</v>
      </c>
      <c r="J22" s="237">
        <f>F22*'Gårdens info'!$D$19</f>
        <v>0</v>
      </c>
      <c r="K22" s="119" t="s">
        <v>529</v>
      </c>
      <c r="L22" s="236"/>
      <c r="M22" s="239"/>
    </row>
    <row r="23" spans="1:29" s="69" customFormat="1" ht="15" x14ac:dyDescent="0.25">
      <c r="A23" s="78"/>
      <c r="B23" s="235"/>
      <c r="C23" s="228" t="s">
        <v>225</v>
      </c>
      <c r="D23" s="236"/>
      <c r="E23" s="236"/>
      <c r="F23" s="237">
        <f>IF('Gårdens info'!D19&gt;0,L169,0)</f>
        <v>0</v>
      </c>
      <c r="G23" s="119" t="s">
        <v>57</v>
      </c>
      <c r="H23" s="503">
        <f>IF('Gårdens info'!$G$19&gt;0,F23/'Gårdens info'!$G$19,)</f>
        <v>0</v>
      </c>
      <c r="I23" s="119" t="s">
        <v>206</v>
      </c>
      <c r="J23" s="237">
        <f>F23*'Gårdens info'!$D$19</f>
        <v>0</v>
      </c>
      <c r="K23" s="119" t="s">
        <v>529</v>
      </c>
      <c r="L23" s="236"/>
      <c r="M23" s="239"/>
    </row>
    <row r="24" spans="1:29" ht="15.6" x14ac:dyDescent="0.3">
      <c r="B24" s="251"/>
      <c r="C24" s="240" t="s">
        <v>54</v>
      </c>
      <c r="D24" s="241"/>
      <c r="E24" s="241"/>
      <c r="F24" s="242">
        <f>SUM(F16:F23)</f>
        <v>0</v>
      </c>
      <c r="G24" s="243" t="s">
        <v>57</v>
      </c>
      <c r="H24" s="504">
        <f>SUM(H16:H23)</f>
        <v>0</v>
      </c>
      <c r="I24" s="243" t="s">
        <v>206</v>
      </c>
      <c r="J24" s="242">
        <f>SUM(J16:J23)</f>
        <v>0</v>
      </c>
      <c r="K24" s="243" t="s">
        <v>529</v>
      </c>
      <c r="L24" s="241"/>
      <c r="M24" s="252"/>
      <c r="N24" s="69"/>
      <c r="O24" s="69"/>
      <c r="P24" s="69"/>
      <c r="Q24" s="69"/>
      <c r="R24" s="69"/>
      <c r="S24" s="69"/>
      <c r="T24" s="69"/>
      <c r="U24" s="69"/>
    </row>
    <row r="25" spans="1:29" s="56" customFormat="1" ht="17.399999999999999" x14ac:dyDescent="0.3">
      <c r="A25" s="152"/>
      <c r="B25" s="231"/>
      <c r="C25" s="245"/>
      <c r="D25" s="246"/>
      <c r="E25" s="246"/>
      <c r="F25" s="247"/>
      <c r="G25" s="119"/>
      <c r="H25" s="505"/>
      <c r="I25" s="246"/>
      <c r="J25" s="246"/>
      <c r="K25" s="246"/>
      <c r="L25" s="246"/>
      <c r="M25" s="226"/>
      <c r="N25" s="69"/>
      <c r="O25" s="69"/>
      <c r="P25" s="69"/>
      <c r="R25" s="69"/>
      <c r="S25" s="69"/>
      <c r="T25" s="69"/>
      <c r="U25" s="69"/>
      <c r="AB25" s="449" t="s">
        <v>385</v>
      </c>
      <c r="AC25" s="561">
        <f>F16</f>
        <v>0</v>
      </c>
    </row>
    <row r="26" spans="1:29" s="69" customFormat="1" ht="17.399999999999999" x14ac:dyDescent="0.3">
      <c r="A26" s="78"/>
      <c r="B26" s="1089" t="s">
        <v>530</v>
      </c>
      <c r="C26" s="1090"/>
      <c r="D26" s="1090"/>
      <c r="E26" s="1090"/>
      <c r="F26" s="263">
        <f>IF('Gårdens info'!D19&gt;0,J26/'Gårdens info'!D19,0)</f>
        <v>0</v>
      </c>
      <c r="G26" s="243" t="s">
        <v>57</v>
      </c>
      <c r="H26" s="506">
        <f>IF('Gårdens info'!G19&gt;0,F26/'Gårdens info'!G19,0)</f>
        <v>0</v>
      </c>
      <c r="I26" s="243" t="s">
        <v>206</v>
      </c>
      <c r="J26" s="258">
        <f>'Gårdens info'!G163/'Gårdens info'!D43*'Gårdens info'!D19</f>
        <v>0</v>
      </c>
      <c r="K26" s="243" t="s">
        <v>529</v>
      </c>
      <c r="L26" s="265"/>
      <c r="M26" s="259"/>
      <c r="N26"/>
      <c r="O26"/>
      <c r="P26"/>
      <c r="S26"/>
      <c r="T26"/>
      <c r="U26"/>
      <c r="AB26" s="382" t="str">
        <f t="shared" ref="AB26:AB32" si="1">C17</f>
        <v>Gödsel och kalk</v>
      </c>
      <c r="AC26" s="561">
        <f t="shared" ref="AC26:AC32" si="2">F17</f>
        <v>0</v>
      </c>
    </row>
    <row r="27" spans="1:29" s="69" customFormat="1" ht="17.399999999999999" x14ac:dyDescent="0.3">
      <c r="A27" s="78"/>
      <c r="B27" s="1091" t="s">
        <v>531</v>
      </c>
      <c r="C27" s="1092"/>
      <c r="D27" s="1092"/>
      <c r="E27" s="1092"/>
      <c r="F27" s="263">
        <f>IF('Gårdens info'!D19&gt;0,J27/'Gårdens info'!D19,0)</f>
        <v>0</v>
      </c>
      <c r="G27" s="243" t="s">
        <v>57</v>
      </c>
      <c r="H27" s="506">
        <f>IF('Gårdens info'!G19&gt;0,F27/'Gårdens info'!G19,0)</f>
        <v>0</v>
      </c>
      <c r="I27" s="243" t="s">
        <v>206</v>
      </c>
      <c r="J27" s="258">
        <f>'Gårdens info'!$D$48/'Gårdens info'!$D$49*'Gårdens info'!$G$48*'Gårdens info'!D19</f>
        <v>0</v>
      </c>
      <c r="K27" s="243" t="s">
        <v>529</v>
      </c>
      <c r="L27" s="265"/>
      <c r="M27" s="259"/>
      <c r="N27" s="56"/>
      <c r="O27" s="56"/>
      <c r="P27" s="56"/>
      <c r="S27" s="56"/>
      <c r="T27" s="56"/>
      <c r="U27" s="56"/>
      <c r="AB27" s="382" t="str">
        <f t="shared" si="1"/>
        <v>IPM Växtskydd</v>
      </c>
      <c r="AC27" s="561">
        <f t="shared" si="2"/>
        <v>0</v>
      </c>
    </row>
    <row r="28" spans="1:29" s="69" customFormat="1" ht="21" customHeight="1" x14ac:dyDescent="0.4">
      <c r="A28" s="78"/>
      <c r="B28" s="1061" t="s">
        <v>189</v>
      </c>
      <c r="C28" s="1043"/>
      <c r="D28" s="1043"/>
      <c r="E28" s="262"/>
      <c r="F28" s="266">
        <f>F24+F26+F27</f>
        <v>0</v>
      </c>
      <c r="G28" s="267" t="s">
        <v>57</v>
      </c>
      <c r="H28" s="507">
        <f>H24+H26+H27</f>
        <v>0</v>
      </c>
      <c r="I28" s="267" t="s">
        <v>206</v>
      </c>
      <c r="J28" s="269">
        <f>J24+J26+J27</f>
        <v>0</v>
      </c>
      <c r="K28" s="267" t="s">
        <v>529</v>
      </c>
      <c r="L28" s="267"/>
      <c r="M28" s="259"/>
      <c r="AB28" s="382" t="str">
        <f t="shared" si="1"/>
        <v>Packningsmaterial</v>
      </c>
      <c r="AC28" s="561">
        <f t="shared" si="2"/>
        <v>0</v>
      </c>
    </row>
    <row r="29" spans="1:29" s="69" customFormat="1" ht="21" x14ac:dyDescent="0.4">
      <c r="A29" s="78"/>
      <c r="B29" s="288"/>
      <c r="C29" s="270"/>
      <c r="D29" s="270"/>
      <c r="E29" s="262"/>
      <c r="F29" s="266"/>
      <c r="G29" s="267"/>
      <c r="H29" s="268"/>
      <c r="I29" s="267"/>
      <c r="J29" s="269"/>
      <c r="K29" s="267"/>
      <c r="L29" s="267"/>
      <c r="M29" s="259"/>
      <c r="AB29" s="382" t="str">
        <f t="shared" si="1"/>
        <v>Fraktkostnader</v>
      </c>
      <c r="AC29" s="561">
        <f t="shared" si="2"/>
        <v>0</v>
      </c>
    </row>
    <row r="30" spans="1:29" s="69" customFormat="1" ht="21" x14ac:dyDescent="0.4">
      <c r="A30" s="78"/>
      <c r="B30" s="257" t="s">
        <v>532</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78"/>
      <c r="B31" s="1081" t="s">
        <v>69</v>
      </c>
      <c r="C31" s="1082"/>
      <c r="D31" s="270"/>
      <c r="E31" s="262"/>
      <c r="F31" s="266"/>
      <c r="G31" s="267"/>
      <c r="H31" s="268"/>
      <c r="I31" s="267"/>
      <c r="J31" s="269"/>
      <c r="K31" s="267"/>
      <c r="L31" s="267"/>
      <c r="M31" s="259"/>
      <c r="AB31" s="382" t="str">
        <f t="shared" si="1"/>
        <v>Energikostnader</v>
      </c>
      <c r="AC31" s="561">
        <f t="shared" si="2"/>
        <v>0</v>
      </c>
    </row>
    <row r="32" spans="1:29" s="69" customFormat="1" ht="21" x14ac:dyDescent="0.4">
      <c r="A32" s="78"/>
      <c r="B32" s="287"/>
      <c r="C32" s="941" t="s">
        <v>229</v>
      </c>
      <c r="D32" s="942"/>
      <c r="E32" s="262"/>
      <c r="F32" s="276">
        <f>IF('Gårdens info'!$D$19&gt;0,J32/'Gårdens info'!$D$19,0)</f>
        <v>0</v>
      </c>
      <c r="G32" s="119" t="s">
        <v>57</v>
      </c>
      <c r="H32" s="502">
        <f>IF('Gårdens info'!$G$19&gt;0,F32/'Gårdens info'!$G$19,0)</f>
        <v>0</v>
      </c>
      <c r="I32" s="119" t="s">
        <v>206</v>
      </c>
      <c r="J32" s="237">
        <f>Egendom!AS25</f>
        <v>0</v>
      </c>
      <c r="K32" s="119" t="s">
        <v>529</v>
      </c>
      <c r="L32" s="267"/>
      <c r="M32" s="259"/>
      <c r="AB32" s="382" t="str">
        <f t="shared" si="1"/>
        <v>Anställd arbetskraft</v>
      </c>
      <c r="AC32" s="561">
        <f t="shared" si="2"/>
        <v>0</v>
      </c>
    </row>
    <row r="33" spans="1:29" s="192" customFormat="1" ht="21" x14ac:dyDescent="0.4">
      <c r="A33" s="632"/>
      <c r="B33" s="287"/>
      <c r="C33" s="941" t="s">
        <v>230</v>
      </c>
      <c r="D33" s="942"/>
      <c r="E33" s="262"/>
      <c r="F33" s="276">
        <f>IF('Gårdens info'!$D$19&gt;0,J33/'Gårdens info'!$D$19,0)</f>
        <v>0</v>
      </c>
      <c r="G33" s="119" t="s">
        <v>57</v>
      </c>
      <c r="H33" s="502">
        <f>IF('Gårdens info'!$G$19&gt;0,F33/'Gårdens info'!$G$19,0)</f>
        <v>0</v>
      </c>
      <c r="I33" s="119" t="s">
        <v>206</v>
      </c>
      <c r="J33" s="237">
        <f>Egendom!BQ25</f>
        <v>0</v>
      </c>
      <c r="K33" s="119" t="s">
        <v>529</v>
      </c>
      <c r="L33" s="267"/>
      <c r="M33" s="259"/>
      <c r="N33" s="69"/>
      <c r="O33" s="69"/>
      <c r="P33" s="69"/>
      <c r="S33" s="69"/>
      <c r="T33" s="69"/>
      <c r="U33" s="69"/>
      <c r="AB33" s="384" t="s">
        <v>538</v>
      </c>
      <c r="AC33" s="384">
        <f>F26</f>
        <v>0</v>
      </c>
    </row>
    <row r="34" spans="1:29" ht="17.399999999999999" customHeight="1" x14ac:dyDescent="0.3">
      <c r="B34" s="287"/>
      <c r="C34" s="1108" t="s">
        <v>232</v>
      </c>
      <c r="D34" s="1108"/>
      <c r="E34" s="262"/>
      <c r="F34" s="276">
        <f>IF('Gårdens info'!$D$19&gt;0,J34/'Gårdens info'!$D$19,0)</f>
        <v>0</v>
      </c>
      <c r="G34" s="119" t="s">
        <v>57</v>
      </c>
      <c r="H34" s="502">
        <f>IF('Gårdens info'!$G$19&gt;0,F34/'Gårdens info'!$G$19,0)</f>
        <v>0</v>
      </c>
      <c r="I34" s="119" t="s">
        <v>206</v>
      </c>
      <c r="J34" s="237">
        <f>Egendom!CO25</f>
        <v>0</v>
      </c>
      <c r="K34" s="119" t="s">
        <v>529</v>
      </c>
      <c r="L34" s="267"/>
      <c r="M34" s="259"/>
      <c r="N34" s="69"/>
      <c r="O34" s="69"/>
      <c r="P34" s="69"/>
      <c r="S34" s="69"/>
      <c r="T34" s="69"/>
      <c r="U34" s="69"/>
      <c r="AB34" s="382" t="s">
        <v>482</v>
      </c>
      <c r="AC34" s="384">
        <f>F27</f>
        <v>0</v>
      </c>
    </row>
    <row r="35" spans="1:29" ht="21" x14ac:dyDescent="0.4">
      <c r="B35" s="287"/>
      <c r="C35" s="941" t="s">
        <v>483</v>
      </c>
      <c r="D35" s="942"/>
      <c r="E35" s="262"/>
      <c r="F35" s="276">
        <f>IF('Gårdens info'!$D$19&gt;0,J35/'Gårdens info'!$D$19,0)</f>
        <v>0</v>
      </c>
      <c r="G35" s="119" t="s">
        <v>57</v>
      </c>
      <c r="H35" s="502">
        <f>IF('Gårdens info'!$G$19&gt;0,F35/'Gårdens info'!$G$19,0)</f>
        <v>0</v>
      </c>
      <c r="I35" s="119" t="s">
        <v>206</v>
      </c>
      <c r="J35" s="237">
        <f>Egendom!DM25</f>
        <v>0</v>
      </c>
      <c r="K35" s="119" t="s">
        <v>529</v>
      </c>
      <c r="L35" s="267"/>
      <c r="M35" s="259"/>
      <c r="N35" s="192"/>
      <c r="O35" s="192"/>
      <c r="P35" s="192"/>
      <c r="S35" s="192"/>
      <c r="T35" s="192"/>
      <c r="U35" s="192"/>
      <c r="AB35" s="382" t="s">
        <v>235</v>
      </c>
      <c r="AC35" s="385">
        <f>F36</f>
        <v>0</v>
      </c>
    </row>
    <row r="36" spans="1:29" ht="20.399999999999999" x14ac:dyDescent="0.35">
      <c r="B36" s="289"/>
      <c r="C36" s="943" t="s">
        <v>54</v>
      </c>
      <c r="D36" s="944"/>
      <c r="E36" s="262"/>
      <c r="F36" s="280">
        <f>SUM(F32:F35)</f>
        <v>0</v>
      </c>
      <c r="G36" s="119" t="s">
        <v>57</v>
      </c>
      <c r="H36" s="509">
        <f t="shared" ref="H36:J36" si="3">SUM(H32:H35)</f>
        <v>0</v>
      </c>
      <c r="I36" s="119" t="s">
        <v>206</v>
      </c>
      <c r="J36" s="280">
        <f t="shared" si="3"/>
        <v>0</v>
      </c>
      <c r="K36" s="119" t="s">
        <v>529</v>
      </c>
      <c r="L36" s="281"/>
      <c r="M36" s="259"/>
      <c r="AB36" s="382" t="s">
        <v>236</v>
      </c>
      <c r="AC36" s="386">
        <f>F43</f>
        <v>0</v>
      </c>
    </row>
    <row r="37" spans="1:29" s="69" customFormat="1" ht="21" x14ac:dyDescent="0.4">
      <c r="A37" s="78"/>
      <c r="B37" s="287"/>
      <c r="C37" s="274"/>
      <c r="D37" s="270"/>
      <c r="E37" s="262"/>
      <c r="F37" s="276"/>
      <c r="G37" s="119"/>
      <c r="H37" s="277"/>
      <c r="I37" s="119"/>
      <c r="J37" s="237"/>
      <c r="K37" s="119"/>
      <c r="L37" s="267"/>
      <c r="M37" s="259"/>
      <c r="N37"/>
      <c r="O37"/>
      <c r="P37"/>
      <c r="S37"/>
      <c r="T37"/>
      <c r="U37"/>
      <c r="AB37" s="382" t="s">
        <v>237</v>
      </c>
      <c r="AC37" s="386">
        <f>F50</f>
        <v>0</v>
      </c>
    </row>
    <row r="38" spans="1:29" s="69" customFormat="1" ht="17.399999999999999" x14ac:dyDescent="0.3">
      <c r="A38" s="78"/>
      <c r="B38" s="1081" t="s">
        <v>83</v>
      </c>
      <c r="C38" s="1082"/>
      <c r="D38" s="1082"/>
      <c r="E38" s="262"/>
      <c r="F38" s="276"/>
      <c r="G38" s="119"/>
      <c r="H38" s="277"/>
      <c r="I38" s="119"/>
      <c r="J38" s="237"/>
      <c r="K38" s="119"/>
      <c r="L38" s="267"/>
      <c r="M38" s="259"/>
      <c r="N38"/>
      <c r="O38"/>
      <c r="P38"/>
      <c r="S38"/>
      <c r="T38"/>
      <c r="U38"/>
      <c r="AB38" s="382" t="s">
        <v>141</v>
      </c>
      <c r="AC38" s="386">
        <f>F56</f>
        <v>0</v>
      </c>
    </row>
    <row r="39" spans="1:29" s="69" customFormat="1" ht="21" x14ac:dyDescent="0.4">
      <c r="A39" s="78"/>
      <c r="B39" s="287"/>
      <c r="C39" s="941" t="s">
        <v>229</v>
      </c>
      <c r="D39" s="942"/>
      <c r="E39" s="262"/>
      <c r="F39" s="276">
        <f>IF('Gårdens info'!$D$19&gt;0,J39/'Gårdens info'!$D$19,0)</f>
        <v>0</v>
      </c>
      <c r="G39" s="119" t="s">
        <v>57</v>
      </c>
      <c r="H39" s="502">
        <f>IF('Gårdens info'!$G$19&gt;0,F39/'Gårdens info'!$G$19,0)</f>
        <v>0</v>
      </c>
      <c r="I39" s="119" t="s">
        <v>206</v>
      </c>
      <c r="J39" s="237">
        <f>Egendom!AS61</f>
        <v>0</v>
      </c>
      <c r="K39" s="119" t="s">
        <v>529</v>
      </c>
      <c r="L39" s="267"/>
      <c r="M39" s="259"/>
      <c r="AB39" s="382" t="s">
        <v>192</v>
      </c>
      <c r="AC39" s="384">
        <f>F62</f>
        <v>0</v>
      </c>
    </row>
    <row r="40" spans="1:29" s="5" customFormat="1" ht="21" x14ac:dyDescent="0.4">
      <c r="A40" s="209"/>
      <c r="B40" s="287"/>
      <c r="C40" s="941" t="s">
        <v>230</v>
      </c>
      <c r="D40" s="942"/>
      <c r="E40" s="262"/>
      <c r="F40" s="276">
        <f>IF('Gårdens info'!$D$19&gt;0,J40/'Gårdens info'!$D$19,0)</f>
        <v>0</v>
      </c>
      <c r="G40" s="119" t="s">
        <v>57</v>
      </c>
      <c r="H40" s="502">
        <f>IF('Gårdens info'!$G$19&gt;0,F40/'Gårdens info'!$G$19,0)</f>
        <v>0</v>
      </c>
      <c r="I40" s="119" t="s">
        <v>206</v>
      </c>
      <c r="J40" s="237">
        <f>Egendom!BQ61</f>
        <v>0</v>
      </c>
      <c r="K40" s="119" t="s">
        <v>529</v>
      </c>
      <c r="L40" s="267"/>
      <c r="M40" s="259"/>
      <c r="N40" s="69"/>
      <c r="O40" s="69"/>
      <c r="P40" s="69"/>
      <c r="Q40" s="69"/>
      <c r="R40" s="69"/>
      <c r="S40" s="69"/>
      <c r="T40" s="69"/>
      <c r="U40" s="69"/>
      <c r="AB40" s="562"/>
      <c r="AC40" s="562"/>
    </row>
    <row r="41" spans="1:29" s="5" customFormat="1" ht="17.399999999999999" customHeight="1" x14ac:dyDescent="0.3">
      <c r="A41" s="209"/>
      <c r="B41" s="287"/>
      <c r="C41" s="1108" t="s">
        <v>232</v>
      </c>
      <c r="D41" s="1108"/>
      <c r="E41" s="262"/>
      <c r="F41" s="276">
        <f>IF('Gårdens info'!$D$19&gt;0,J41/'Gårdens info'!$D$19,0)</f>
        <v>0</v>
      </c>
      <c r="G41" s="119" t="s">
        <v>57</v>
      </c>
      <c r="H41" s="502">
        <f>IF('Gårdens info'!$G$19&gt;0,F41/'Gårdens info'!$G$19,0)</f>
        <v>0</v>
      </c>
      <c r="I41" s="119" t="s">
        <v>206</v>
      </c>
      <c r="J41" s="237">
        <f>Egendom!CO61</f>
        <v>0</v>
      </c>
      <c r="K41" s="119" t="s">
        <v>529</v>
      </c>
      <c r="L41" s="267"/>
      <c r="M41" s="259"/>
      <c r="N41" s="69"/>
      <c r="O41" s="69"/>
      <c r="P41" s="69"/>
      <c r="Q41" s="69"/>
      <c r="R41" s="69"/>
      <c r="S41" s="69"/>
      <c r="T41" s="69"/>
      <c r="U41" s="69"/>
    </row>
    <row r="42" spans="1:29" s="5" customFormat="1" ht="21" x14ac:dyDescent="0.4">
      <c r="A42" s="209"/>
      <c r="B42" s="287"/>
      <c r="C42" s="941" t="s">
        <v>483</v>
      </c>
      <c r="D42" s="942"/>
      <c r="E42" s="262"/>
      <c r="F42" s="276">
        <f>IF('Gårdens info'!$D$19&gt;0,J42/'Gårdens info'!$D$19,0)</f>
        <v>0</v>
      </c>
      <c r="G42" s="119" t="s">
        <v>57</v>
      </c>
      <c r="H42" s="502">
        <f>IF('Gårdens info'!$G$19&gt;0,F42/'Gårdens info'!$G$19,0)</f>
        <v>0</v>
      </c>
      <c r="I42" s="119" t="s">
        <v>206</v>
      </c>
      <c r="J42" s="237">
        <f>Egendom!DM61</f>
        <v>0</v>
      </c>
      <c r="K42" s="119" t="s">
        <v>529</v>
      </c>
      <c r="L42" s="267"/>
      <c r="M42" s="259"/>
    </row>
    <row r="43" spans="1:29" s="5" customFormat="1" ht="20.399999999999999" x14ac:dyDescent="0.35">
      <c r="A43" s="209"/>
      <c r="B43" s="289"/>
      <c r="C43" s="943" t="s">
        <v>54</v>
      </c>
      <c r="D43" s="944"/>
      <c r="E43" s="262"/>
      <c r="F43" s="280">
        <f>SUM(F39:F42)</f>
        <v>0</v>
      </c>
      <c r="G43" s="119" t="s">
        <v>57</v>
      </c>
      <c r="H43" s="509">
        <f t="shared" ref="H43:J43" si="4">SUM(H39:H42)</f>
        <v>0</v>
      </c>
      <c r="I43" s="119" t="s">
        <v>206</v>
      </c>
      <c r="J43" s="280">
        <f t="shared" si="4"/>
        <v>0</v>
      </c>
      <c r="K43" s="119" t="s">
        <v>529</v>
      </c>
      <c r="L43" s="281"/>
      <c r="M43" s="259"/>
    </row>
    <row r="44" spans="1:29" s="5" customFormat="1" ht="21" x14ac:dyDescent="0.4">
      <c r="A44" s="209"/>
      <c r="B44" s="287"/>
      <c r="C44" s="274"/>
      <c r="D44" s="270"/>
      <c r="E44" s="262"/>
      <c r="F44" s="276"/>
      <c r="G44" s="119"/>
      <c r="H44" s="277"/>
      <c r="I44" s="119"/>
      <c r="J44" s="237"/>
      <c r="K44" s="119"/>
      <c r="L44" s="267"/>
      <c r="M44" s="259"/>
    </row>
    <row r="45" spans="1:29" s="5" customFormat="1" ht="43.2" customHeight="1" x14ac:dyDescent="0.3">
      <c r="A45" s="209"/>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info'!$D$19&gt;0,J46/'Gårdens info'!$D$19,0)</f>
        <v>0</v>
      </c>
      <c r="G46" s="119" t="s">
        <v>57</v>
      </c>
      <c r="H46" s="502">
        <f>IF('Gårdens info'!$G$19&gt;0,F46/'Gårdens info'!$G$19,0)</f>
        <v>0</v>
      </c>
      <c r="I46" s="119" t="s">
        <v>206</v>
      </c>
      <c r="J46" s="237">
        <f>Egendom!AS90</f>
        <v>0</v>
      </c>
      <c r="K46" s="119" t="s">
        <v>529</v>
      </c>
      <c r="L46" s="267"/>
      <c r="M46" s="259"/>
      <c r="N46" s="5"/>
      <c r="O46" s="5"/>
      <c r="P46" s="5"/>
      <c r="Q46" s="5"/>
      <c r="R46" s="5"/>
      <c r="S46" s="5"/>
      <c r="T46" s="5"/>
      <c r="U46" s="5"/>
    </row>
    <row r="47" spans="1:29" s="5" customFormat="1" ht="21" x14ac:dyDescent="0.4">
      <c r="A47" s="209"/>
      <c r="B47" s="287"/>
      <c r="C47" s="941" t="s">
        <v>230</v>
      </c>
      <c r="D47" s="942"/>
      <c r="E47" s="262"/>
      <c r="F47" s="276">
        <f>IF('Gårdens info'!$D$19&gt;0,J47/'Gårdens info'!$D$19,0)</f>
        <v>0</v>
      </c>
      <c r="G47" s="119" t="s">
        <v>57</v>
      </c>
      <c r="H47" s="502">
        <f>IF('Gårdens info'!$G$19&gt;0,F47/'Gårdens info'!$G$19,0)</f>
        <v>0</v>
      </c>
      <c r="I47" s="119" t="s">
        <v>206</v>
      </c>
      <c r="J47" s="237">
        <f>Egendom!BQ90</f>
        <v>0</v>
      </c>
      <c r="K47" s="119" t="s">
        <v>529</v>
      </c>
      <c r="L47" s="267"/>
      <c r="M47" s="259"/>
    </row>
    <row r="48" spans="1:29" s="5" customFormat="1" ht="17.399999999999999" customHeight="1" x14ac:dyDescent="0.3">
      <c r="A48" s="209"/>
      <c r="B48" s="287"/>
      <c r="C48" s="1108" t="s">
        <v>232</v>
      </c>
      <c r="D48" s="1108"/>
      <c r="E48" s="262"/>
      <c r="F48" s="276">
        <f>IF('Gårdens info'!$D$19&gt;0,J48/'Gårdens info'!$D$19,0)</f>
        <v>0</v>
      </c>
      <c r="G48" s="119" t="s">
        <v>57</v>
      </c>
      <c r="H48" s="502">
        <f>IF('Gårdens info'!$G$19&gt;0,F48/'Gårdens info'!$G$19,0)</f>
        <v>0</v>
      </c>
      <c r="I48" s="119" t="s">
        <v>206</v>
      </c>
      <c r="J48" s="237">
        <f>Egendom!CO90</f>
        <v>0</v>
      </c>
      <c r="K48" s="119" t="s">
        <v>529</v>
      </c>
      <c r="L48" s="267"/>
      <c r="M48" s="259"/>
      <c r="N48"/>
      <c r="O48"/>
      <c r="P48"/>
      <c r="Q48"/>
      <c r="R48"/>
      <c r="S48"/>
      <c r="T48"/>
      <c r="U48"/>
    </row>
    <row r="49" spans="1:13" s="5" customFormat="1" ht="21" x14ac:dyDescent="0.4">
      <c r="A49" s="209"/>
      <c r="B49" s="287"/>
      <c r="C49" s="941" t="s">
        <v>483</v>
      </c>
      <c r="D49" s="942"/>
      <c r="E49" s="262"/>
      <c r="F49" s="276">
        <f>IF('Gårdens info'!$D$19&gt;0,J49/'Gårdens info'!$D$19,0)</f>
        <v>0</v>
      </c>
      <c r="G49" s="119" t="s">
        <v>57</v>
      </c>
      <c r="H49" s="502">
        <f>IF('Gårdens info'!$G$19&gt;0,F49/'Gårdens info'!$G$19,0)</f>
        <v>0</v>
      </c>
      <c r="I49" s="119" t="s">
        <v>206</v>
      </c>
      <c r="J49" s="237">
        <f>Egendom!DM90</f>
        <v>0</v>
      </c>
      <c r="K49" s="119" t="s">
        <v>529</v>
      </c>
      <c r="L49" s="267"/>
      <c r="M49" s="259"/>
    </row>
    <row r="50" spans="1:13" s="5" customFormat="1" ht="20.399999999999999" x14ac:dyDescent="0.35">
      <c r="A50" s="209"/>
      <c r="B50" s="289"/>
      <c r="C50" s="943" t="s">
        <v>54</v>
      </c>
      <c r="D50" s="944"/>
      <c r="E50" s="262"/>
      <c r="F50" s="280">
        <f>SUM(F46:F49)</f>
        <v>0</v>
      </c>
      <c r="G50" s="119" t="s">
        <v>57</v>
      </c>
      <c r="H50" s="509">
        <f t="shared" ref="H50:J50" si="5">SUM(H46:H49)</f>
        <v>0</v>
      </c>
      <c r="I50" s="119" t="s">
        <v>206</v>
      </c>
      <c r="J50" s="280">
        <f t="shared" si="5"/>
        <v>0</v>
      </c>
      <c r="K50" s="119" t="s">
        <v>529</v>
      </c>
      <c r="L50" s="281"/>
      <c r="M50" s="259"/>
    </row>
    <row r="51" spans="1:13" s="5" customFormat="1" ht="21" x14ac:dyDescent="0.4">
      <c r="A51" s="209"/>
      <c r="B51" s="287"/>
      <c r="C51" s="274"/>
      <c r="D51" s="270"/>
      <c r="E51" s="262"/>
      <c r="F51" s="276"/>
      <c r="G51" s="119"/>
      <c r="H51" s="277"/>
      <c r="I51" s="119"/>
      <c r="J51" s="237"/>
      <c r="K51" s="119"/>
      <c r="L51" s="267"/>
      <c r="M51" s="259"/>
    </row>
    <row r="52" spans="1:13" s="5" customFormat="1" ht="21" x14ac:dyDescent="0.4">
      <c r="A52" s="209"/>
      <c r="B52" s="1084" t="s">
        <v>139</v>
      </c>
      <c r="C52" s="1085"/>
      <c r="D52" s="270"/>
      <c r="E52" s="262"/>
      <c r="F52" s="276"/>
      <c r="G52" s="119"/>
      <c r="H52" s="277"/>
      <c r="I52" s="119"/>
      <c r="J52" s="237"/>
      <c r="K52" s="119"/>
      <c r="L52" s="267"/>
      <c r="M52" s="259"/>
    </row>
    <row r="53" spans="1:13" s="5" customFormat="1" ht="21" x14ac:dyDescent="0.4">
      <c r="A53" s="209"/>
      <c r="B53" s="287"/>
      <c r="C53" s="941" t="s">
        <v>229</v>
      </c>
      <c r="D53" s="942"/>
      <c r="E53" s="262"/>
      <c r="F53" s="276">
        <f>IF('Gårdens info'!$D$19&gt;0,J53/'Gårdens info'!$D$19,0)</f>
        <v>0</v>
      </c>
      <c r="G53" s="119" t="s">
        <v>57</v>
      </c>
      <c r="H53" s="502">
        <f>IF('Gårdens info'!$G$19&gt;0,F53/'Gårdens info'!$G$19,0)</f>
        <v>0</v>
      </c>
      <c r="I53" s="119" t="s">
        <v>206</v>
      </c>
      <c r="J53" s="237">
        <f>Egendom!AS93</f>
        <v>0</v>
      </c>
      <c r="K53" s="119" t="s">
        <v>529</v>
      </c>
      <c r="L53" s="267"/>
      <c r="M53" s="259"/>
    </row>
    <row r="54" spans="1:13" s="5" customFormat="1" ht="19.95" customHeight="1" x14ac:dyDescent="0.4">
      <c r="A54" s="209"/>
      <c r="B54" s="287"/>
      <c r="C54" s="941" t="s">
        <v>230</v>
      </c>
      <c r="D54" s="942"/>
      <c r="E54" s="262"/>
      <c r="F54" s="276">
        <f>IF('Gårdens info'!$D$19&gt;0,J54/'Gårdens info'!$D$19,0)</f>
        <v>0</v>
      </c>
      <c r="G54" s="119" t="s">
        <v>57</v>
      </c>
      <c r="H54" s="502">
        <f>IF('Gårdens info'!$G$19&gt;0,F54/'Gårdens info'!$G$19,0)</f>
        <v>0</v>
      </c>
      <c r="I54" s="119" t="s">
        <v>206</v>
      </c>
      <c r="J54" s="237">
        <f>Egendom!BQ93</f>
        <v>0</v>
      </c>
      <c r="K54" s="119" t="s">
        <v>529</v>
      </c>
      <c r="L54" s="267"/>
      <c r="M54" s="259"/>
    </row>
    <row r="55" spans="1:13" s="5" customFormat="1" ht="17.399999999999999" customHeight="1" x14ac:dyDescent="0.3">
      <c r="A55" s="209"/>
      <c r="B55" s="287"/>
      <c r="C55" s="1108" t="s">
        <v>232</v>
      </c>
      <c r="D55" s="1108"/>
      <c r="E55" s="262"/>
      <c r="F55" s="276">
        <f>IF('Gårdens info'!$D$19&gt;0,J55/'Gårdens info'!$D$19,0)</f>
        <v>0</v>
      </c>
      <c r="G55" s="119" t="s">
        <v>57</v>
      </c>
      <c r="H55" s="502">
        <f>IF('Gårdens info'!$G$19&gt;0,F55/'Gårdens info'!$G$19,0)</f>
        <v>0</v>
      </c>
      <c r="I55" s="119" t="s">
        <v>206</v>
      </c>
      <c r="J55" s="237">
        <f>Egendom!CO93</f>
        <v>0</v>
      </c>
      <c r="K55" s="119" t="s">
        <v>529</v>
      </c>
      <c r="L55" s="267"/>
      <c r="M55" s="259"/>
    </row>
    <row r="56" spans="1:13" s="5" customFormat="1" ht="15.6" x14ac:dyDescent="0.3">
      <c r="A56" s="209"/>
      <c r="B56" s="286"/>
      <c r="C56" s="261" t="s">
        <v>54</v>
      </c>
      <c r="D56" s="261"/>
      <c r="E56" s="261"/>
      <c r="F56" s="280">
        <f>SUM(F53:F55)</f>
        <v>0</v>
      </c>
      <c r="G56" s="119" t="s">
        <v>57</v>
      </c>
      <c r="H56" s="509">
        <f t="shared" ref="H56:J56" si="6">SUM(H53:H55)</f>
        <v>0</v>
      </c>
      <c r="I56" s="119" t="s">
        <v>206</v>
      </c>
      <c r="J56" s="280">
        <f t="shared" si="6"/>
        <v>0</v>
      </c>
      <c r="K56" s="119" t="s">
        <v>529</v>
      </c>
      <c r="L56" s="284"/>
      <c r="M56" s="290"/>
    </row>
    <row r="57" spans="1:13" s="5" customFormat="1" ht="21" customHeight="1" x14ac:dyDescent="0.4">
      <c r="A57" s="209"/>
      <c r="B57" s="1061" t="s">
        <v>191</v>
      </c>
      <c r="C57" s="1043"/>
      <c r="D57" s="1043"/>
      <c r="E57" s="262"/>
      <c r="F57" s="266">
        <f>F36+F43+F50+F56</f>
        <v>0</v>
      </c>
      <c r="G57" s="267" t="s">
        <v>57</v>
      </c>
      <c r="H57" s="507">
        <f>H36+H43+H50+H56</f>
        <v>0</v>
      </c>
      <c r="I57" s="267" t="s">
        <v>206</v>
      </c>
      <c r="J57" s="269">
        <f>J36+J43+J50+J56</f>
        <v>0</v>
      </c>
      <c r="K57" s="267" t="s">
        <v>529</v>
      </c>
      <c r="L57" s="267"/>
      <c r="M57" s="259"/>
    </row>
    <row r="58" spans="1:13" s="5" customFormat="1" ht="15.6" x14ac:dyDescent="0.3">
      <c r="A58" s="209"/>
      <c r="B58" s="286"/>
      <c r="C58" s="262"/>
      <c r="D58" s="262"/>
      <c r="E58" s="262"/>
      <c r="F58" s="263"/>
      <c r="G58" s="243"/>
      <c r="H58" s="264"/>
      <c r="I58" s="243"/>
      <c r="J58" s="258"/>
      <c r="K58" s="243"/>
      <c r="L58" s="265"/>
      <c r="M58" s="259"/>
    </row>
    <row r="59" spans="1:13" s="5" customFormat="1" ht="21" x14ac:dyDescent="0.4">
      <c r="A59" s="209"/>
      <c r="B59" s="257" t="s">
        <v>192</v>
      </c>
      <c r="C59" s="262"/>
      <c r="D59" s="262"/>
      <c r="E59" s="262"/>
      <c r="F59" s="263"/>
      <c r="G59" s="243"/>
      <c r="H59" s="264"/>
      <c r="I59" s="243"/>
      <c r="J59" s="258"/>
      <c r="K59" s="243"/>
      <c r="L59" s="265"/>
      <c r="M59" s="259"/>
    </row>
    <row r="60" spans="1:13" s="5" customFormat="1" ht="15" x14ac:dyDescent="0.25">
      <c r="A60" s="209"/>
      <c r="B60" s="235"/>
      <c r="C60" s="228" t="s">
        <v>192</v>
      </c>
      <c r="D60" s="236"/>
      <c r="E60" s="236"/>
      <c r="F60" s="237">
        <f>IF('Gårdens info'!D19&gt;0,H169,0)</f>
        <v>0</v>
      </c>
      <c r="G60" s="119" t="s">
        <v>57</v>
      </c>
      <c r="H60" s="503">
        <f>IF('Gårdens info'!G19&gt;0,F60/'Gårdens info'!$G$19,0)</f>
        <v>0</v>
      </c>
      <c r="I60" s="119" t="s">
        <v>206</v>
      </c>
      <c r="J60" s="237">
        <f>F60*'Gårdens info'!D19</f>
        <v>0</v>
      </c>
      <c r="K60" s="119" t="s">
        <v>529</v>
      </c>
      <c r="L60" s="236"/>
      <c r="M60" s="239"/>
    </row>
    <row r="61" spans="1:13" s="5" customFormat="1" ht="17.399999999999999" x14ac:dyDescent="0.3">
      <c r="A61" s="209"/>
      <c r="B61" s="248"/>
      <c r="C61" s="245"/>
      <c r="D61" s="249"/>
      <c r="E61" s="249"/>
      <c r="F61" s="250"/>
      <c r="G61" s="120"/>
      <c r="H61" s="249"/>
      <c r="I61" s="249"/>
      <c r="J61" s="249"/>
      <c r="K61" s="249"/>
      <c r="L61" s="249"/>
      <c r="M61" s="234"/>
    </row>
    <row r="62" spans="1:13" s="5" customFormat="1" ht="21" customHeight="1" x14ac:dyDescent="0.4">
      <c r="A62" s="209"/>
      <c r="B62" s="345" t="s">
        <v>194</v>
      </c>
      <c r="C62" s="346"/>
      <c r="D62" s="346"/>
      <c r="E62" s="262"/>
      <c r="F62" s="266">
        <f>F60</f>
        <v>0</v>
      </c>
      <c r="G62" s="267" t="s">
        <v>57</v>
      </c>
      <c r="H62" s="507">
        <f>H60</f>
        <v>0</v>
      </c>
      <c r="I62" s="267" t="s">
        <v>206</v>
      </c>
      <c r="J62" s="269">
        <f>J60</f>
        <v>0</v>
      </c>
      <c r="K62" s="267" t="s">
        <v>529</v>
      </c>
      <c r="L62" s="267"/>
      <c r="M62" s="259"/>
    </row>
    <row r="63" spans="1:13" s="5" customFormat="1" ht="21" x14ac:dyDescent="0.4">
      <c r="A63" s="209"/>
      <c r="B63" s="288"/>
      <c r="C63" s="270"/>
      <c r="D63" s="270"/>
      <c r="E63" s="262"/>
      <c r="F63" s="266"/>
      <c r="G63" s="267"/>
      <c r="H63" s="507"/>
      <c r="I63" s="267"/>
      <c r="J63" s="269"/>
      <c r="K63" s="267"/>
      <c r="L63" s="267"/>
      <c r="M63" s="259"/>
    </row>
    <row r="64" spans="1:13" s="5" customFormat="1" ht="21" customHeight="1" x14ac:dyDescent="0.4">
      <c r="A64" s="209"/>
      <c r="B64" s="1061" t="s">
        <v>195</v>
      </c>
      <c r="C64" s="1043"/>
      <c r="D64" s="1043"/>
      <c r="E64" s="262"/>
      <c r="F64" s="266">
        <f>F28+F57+F62</f>
        <v>0</v>
      </c>
      <c r="G64" s="267" t="s">
        <v>57</v>
      </c>
      <c r="H64" s="572">
        <f>H28+H57+H62</f>
        <v>0</v>
      </c>
      <c r="I64" s="267" t="s">
        <v>206</v>
      </c>
      <c r="J64" s="266">
        <f>J28+J57+J62</f>
        <v>0</v>
      </c>
      <c r="K64" s="267" t="s">
        <v>529</v>
      </c>
      <c r="L64" s="267"/>
      <c r="M64" s="259"/>
    </row>
    <row r="65" spans="1:21" s="5" customFormat="1" ht="21" x14ac:dyDescent="0.4">
      <c r="A65" s="209"/>
      <c r="B65" s="288"/>
      <c r="C65" s="270"/>
      <c r="D65" s="270"/>
      <c r="E65" s="262"/>
      <c r="F65" s="266"/>
      <c r="G65" s="267"/>
      <c r="H65" s="268"/>
      <c r="I65" s="267"/>
      <c r="J65" s="269"/>
      <c r="K65" s="267"/>
      <c r="L65" s="267"/>
      <c r="M65" s="259"/>
    </row>
    <row r="66" spans="1:21" s="5" customFormat="1" ht="21.6" customHeight="1" thickBot="1" x14ac:dyDescent="0.45">
      <c r="A66" s="209"/>
      <c r="B66" s="1059" t="s">
        <v>198</v>
      </c>
      <c r="C66" s="1060"/>
      <c r="D66" s="1060"/>
      <c r="E66" s="253"/>
      <c r="F66" s="292">
        <f>F11-F28-F57-F62</f>
        <v>0</v>
      </c>
      <c r="G66" s="293" t="s">
        <v>57</v>
      </c>
      <c r="H66" s="510">
        <f>H11-H28-H57-H62</f>
        <v>0</v>
      </c>
      <c r="I66" s="293" t="s">
        <v>206</v>
      </c>
      <c r="J66" s="292">
        <f>J11-J28-J57-J62</f>
        <v>0</v>
      </c>
      <c r="K66" s="293" t="s">
        <v>529</v>
      </c>
      <c r="L66" s="293"/>
      <c r="M66" s="254"/>
    </row>
    <row r="67" spans="1:21" s="5" customFormat="1" ht="21" x14ac:dyDescent="0.4">
      <c r="A67" s="209"/>
      <c r="B67" s="55"/>
      <c r="C67"/>
      <c r="D67"/>
      <c r="E67"/>
      <c r="F67"/>
      <c r="G67"/>
      <c r="H67"/>
      <c r="I67"/>
      <c r="J67"/>
      <c r="K67"/>
      <c r="L67"/>
      <c r="M67"/>
    </row>
    <row r="68" spans="1:21" s="194" customFormat="1" ht="16.2" thickBot="1" x14ac:dyDescent="0.35">
      <c r="A68" s="633"/>
      <c r="B68"/>
      <c r="C68"/>
      <c r="D68"/>
      <c r="E68"/>
      <c r="F68"/>
      <c r="G68"/>
      <c r="H68"/>
      <c r="I68"/>
      <c r="J68"/>
      <c r="K68"/>
      <c r="L68"/>
      <c r="M68"/>
      <c r="N68" s="5"/>
      <c r="O68" s="5"/>
      <c r="P68" s="5"/>
      <c r="Q68" s="5"/>
      <c r="R68" s="5"/>
      <c r="S68" s="5"/>
      <c r="T68" s="5"/>
      <c r="U68" s="5"/>
    </row>
    <row r="69" spans="1:21" s="5" customFormat="1" ht="21.6" customHeight="1" thickBot="1" x14ac:dyDescent="0.45">
      <c r="A69" s="209"/>
      <c r="B69" s="1078" t="s">
        <v>240</v>
      </c>
      <c r="C69" s="1079"/>
      <c r="D69" s="1079"/>
      <c r="E69" s="1080"/>
      <c r="F69"/>
      <c r="G69"/>
      <c r="H69"/>
      <c r="I69"/>
      <c r="J69"/>
      <c r="K69"/>
      <c r="L69" s="1073" t="s">
        <v>241</v>
      </c>
      <c r="M69" s="1073"/>
    </row>
    <row r="70" spans="1:21" s="5" customFormat="1" ht="21" x14ac:dyDescent="0.4">
      <c r="A70" s="209"/>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382</v>
      </c>
      <c r="D73" s="46"/>
      <c r="E73" s="44"/>
      <c r="F73" s="74">
        <v>30000</v>
      </c>
      <c r="G73" s="44" t="s">
        <v>357</v>
      </c>
      <c r="H73" s="74">
        <v>4.4999999999999998E-2</v>
      </c>
      <c r="I73" s="49" t="s">
        <v>246</v>
      </c>
      <c r="J73" s="191">
        <f>F73*H73</f>
        <v>1350</v>
      </c>
      <c r="K73" s="44" t="s">
        <v>57</v>
      </c>
      <c r="L73" s="44"/>
      <c r="M73" s="46"/>
    </row>
    <row r="74" spans="1:21" s="5" customFormat="1" x14ac:dyDescent="0.25">
      <c r="A74" s="209"/>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209"/>
      <c r="B76" s="96" t="s">
        <v>494</v>
      </c>
      <c r="C76" s="97"/>
      <c r="D76" s="97"/>
      <c r="E76" s="97"/>
      <c r="F76" s="1074" t="s">
        <v>114</v>
      </c>
      <c r="G76" s="1074"/>
      <c r="H76" s="1074" t="s">
        <v>113</v>
      </c>
      <c r="I76" s="1074"/>
      <c r="J76" s="1074" t="s">
        <v>243</v>
      </c>
      <c r="K76" s="1074"/>
      <c r="L76" s="99"/>
      <c r="M76" s="99"/>
    </row>
    <row r="77" spans="1:21" s="56" customFormat="1" ht="18" thickBot="1" x14ac:dyDescent="0.35">
      <c r="A77" s="152"/>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78"/>
      <c r="B78" s="97"/>
      <c r="C78" s="97" t="s">
        <v>391</v>
      </c>
      <c r="D78" s="99"/>
      <c r="E78" s="97"/>
      <c r="F78" s="94">
        <v>800</v>
      </c>
      <c r="G78" s="97" t="s">
        <v>212</v>
      </c>
      <c r="H78" s="77">
        <v>0.75</v>
      </c>
      <c r="I78" s="98" t="s">
        <v>206</v>
      </c>
      <c r="J78" s="100">
        <f>F78*H78</f>
        <v>600</v>
      </c>
      <c r="K78" s="97" t="s">
        <v>57</v>
      </c>
      <c r="L78" s="99"/>
      <c r="M78" s="99"/>
      <c r="N78" s="5"/>
      <c r="O78" s="5"/>
      <c r="P78" s="5"/>
      <c r="Q78" s="5"/>
      <c r="R78" s="5"/>
      <c r="S78" s="5"/>
      <c r="T78" s="5"/>
      <c r="U78" s="5"/>
    </row>
    <row r="79" spans="1:21" s="56" customFormat="1" ht="18" thickBot="1" x14ac:dyDescent="0.35">
      <c r="A79" s="152"/>
      <c r="B79" s="97"/>
      <c r="C79" s="97" t="s">
        <v>360</v>
      </c>
      <c r="D79" s="99"/>
      <c r="E79" s="97"/>
      <c r="F79" s="74">
        <v>500</v>
      </c>
      <c r="G79" s="97" t="s">
        <v>212</v>
      </c>
      <c r="H79" s="77">
        <v>0.4</v>
      </c>
      <c r="I79" s="98" t="s">
        <v>206</v>
      </c>
      <c r="J79" s="100">
        <f t="shared" ref="J79:J82" si="7">F79*H79</f>
        <v>200</v>
      </c>
      <c r="K79" s="97" t="s">
        <v>57</v>
      </c>
      <c r="L79" s="99"/>
      <c r="M79" s="99"/>
      <c r="N79" s="69"/>
      <c r="O79" s="69"/>
      <c r="P79" s="69"/>
      <c r="Q79" s="69"/>
      <c r="R79" s="69"/>
      <c r="S79" s="69"/>
      <c r="T79" s="69"/>
      <c r="U79" s="69"/>
    </row>
    <row r="80" spans="1:21" s="69" customFormat="1" ht="15.6" thickBot="1" x14ac:dyDescent="0.3">
      <c r="A80" s="78"/>
      <c r="B80" s="97"/>
      <c r="C80" s="945" t="s">
        <v>361</v>
      </c>
      <c r="D80" s="99"/>
      <c r="E80" s="97"/>
      <c r="F80" s="74">
        <v>2000</v>
      </c>
      <c r="G80" s="97" t="s">
        <v>212</v>
      </c>
      <c r="H80" s="77">
        <v>0.46</v>
      </c>
      <c r="I80" s="98" t="s">
        <v>206</v>
      </c>
      <c r="J80" s="100">
        <f t="shared" si="7"/>
        <v>920</v>
      </c>
      <c r="K80" s="97" t="s">
        <v>57</v>
      </c>
      <c r="L80" s="99"/>
      <c r="M80" s="99"/>
      <c r="N80" s="5"/>
      <c r="O80" s="5"/>
      <c r="P80" s="5"/>
      <c r="Q80" s="5"/>
      <c r="R80" s="5"/>
      <c r="S80" s="5"/>
      <c r="T80" s="5"/>
      <c r="U80" s="5"/>
    </row>
    <row r="81" spans="1:21" s="56" customFormat="1" ht="18" thickBot="1" x14ac:dyDescent="0.35">
      <c r="A81" s="152"/>
      <c r="B81" s="97"/>
      <c r="C81" s="945" t="s">
        <v>251</v>
      </c>
      <c r="D81" s="97"/>
      <c r="E81" s="97"/>
      <c r="F81" s="74"/>
      <c r="G81" s="97" t="s">
        <v>212</v>
      </c>
      <c r="H81" s="77"/>
      <c r="I81" s="98" t="s">
        <v>206</v>
      </c>
      <c r="J81" s="100">
        <f t="shared" si="7"/>
        <v>0</v>
      </c>
      <c r="K81" s="97" t="s">
        <v>57</v>
      </c>
      <c r="L81" s="99"/>
      <c r="M81" s="99"/>
    </row>
    <row r="82" spans="1:21" ht="15.6" thickBot="1" x14ac:dyDescent="0.3">
      <c r="B82" s="97"/>
      <c r="C82" s="945" t="s">
        <v>251</v>
      </c>
      <c r="D82" s="97"/>
      <c r="E82" s="97"/>
      <c r="F82" s="74"/>
      <c r="G82" s="97" t="s">
        <v>212</v>
      </c>
      <c r="H82" s="77"/>
      <c r="I82" s="98" t="s">
        <v>206</v>
      </c>
      <c r="J82" s="100">
        <f t="shared" si="7"/>
        <v>0</v>
      </c>
      <c r="K82" s="97" t="s">
        <v>57</v>
      </c>
      <c r="L82" s="99"/>
      <c r="M82" s="99"/>
      <c r="N82" s="69"/>
      <c r="O82" s="69"/>
      <c r="P82" s="69"/>
      <c r="Q82" s="69"/>
      <c r="R82" s="69"/>
      <c r="S82" s="69"/>
      <c r="T82" s="69"/>
      <c r="U82" s="69"/>
    </row>
    <row r="83" spans="1:21" s="69" customFormat="1" ht="17.399999999999999" x14ac:dyDescent="0.3">
      <c r="A83" s="78"/>
      <c r="B83" s="214"/>
      <c r="C83" s="214" t="s">
        <v>54</v>
      </c>
      <c r="D83" s="214"/>
      <c r="E83" s="214"/>
      <c r="F83" s="214"/>
      <c r="G83" s="214"/>
      <c r="H83" s="214"/>
      <c r="I83" s="215"/>
      <c r="J83" s="216">
        <f>SUM(J78:J82)</f>
        <v>1720</v>
      </c>
      <c r="K83" s="214" t="s">
        <v>57</v>
      </c>
      <c r="L83" s="214"/>
      <c r="M83" s="214"/>
      <c r="N83" s="56"/>
      <c r="O83" s="56"/>
      <c r="P83" s="56"/>
      <c r="Q83" s="56"/>
      <c r="R83" s="56"/>
      <c r="S83" s="56"/>
      <c r="T83" s="56"/>
      <c r="U83" s="56"/>
    </row>
    <row r="84" spans="1:21" s="5" customFormat="1" x14ac:dyDescent="0.25">
      <c r="A84" s="209"/>
      <c r="B84" s="97"/>
      <c r="C84" s="97"/>
      <c r="D84" s="97"/>
      <c r="E84" s="97"/>
      <c r="F84" s="97"/>
      <c r="G84" s="97"/>
      <c r="H84" s="97"/>
      <c r="I84" s="98"/>
      <c r="J84" s="100"/>
      <c r="K84" s="97"/>
      <c r="L84" s="99"/>
      <c r="M84" s="99"/>
      <c r="N84"/>
      <c r="O84"/>
      <c r="P84"/>
      <c r="Q84"/>
      <c r="R84"/>
      <c r="S84"/>
      <c r="T84"/>
      <c r="U84"/>
    </row>
    <row r="85" spans="1:21" s="5" customFormat="1" ht="15" x14ac:dyDescent="0.25">
      <c r="A85" s="209"/>
      <c r="B85"/>
      <c r="C85"/>
      <c r="D85"/>
      <c r="E85"/>
      <c r="F85"/>
      <c r="G85"/>
      <c r="H85"/>
      <c r="I85"/>
      <c r="J85"/>
      <c r="K85"/>
      <c r="L85"/>
      <c r="M85"/>
      <c r="N85" s="69"/>
      <c r="O85" s="69"/>
      <c r="P85" s="69"/>
      <c r="Q85" s="69"/>
      <c r="R85" s="69"/>
      <c r="S85" s="69"/>
      <c r="T85" s="69"/>
      <c r="U85" s="69"/>
    </row>
    <row r="86" spans="1:21" s="5" customFormat="1" ht="15.6" x14ac:dyDescent="0.3">
      <c r="A86" s="209"/>
      <c r="B86" s="85" t="s">
        <v>252</v>
      </c>
      <c r="C86" s="51"/>
      <c r="D86" s="51"/>
      <c r="E86" s="51"/>
      <c r="F86" s="1075" t="s">
        <v>114</v>
      </c>
      <c r="G86" s="1075"/>
      <c r="H86" s="1076" t="s">
        <v>113</v>
      </c>
      <c r="I86" s="1076"/>
      <c r="J86" s="1075" t="s">
        <v>243</v>
      </c>
      <c r="K86" s="1075"/>
      <c r="L86" s="58"/>
      <c r="M86" s="58"/>
    </row>
    <row r="87" spans="1:21" x14ac:dyDescent="0.25">
      <c r="B87" s="51"/>
      <c r="C87" s="51"/>
      <c r="D87" s="51"/>
      <c r="E87" s="51"/>
      <c r="F87" s="53"/>
      <c r="G87" s="53"/>
      <c r="H87" s="52"/>
      <c r="I87" s="52"/>
      <c r="J87" s="52"/>
      <c r="K87" s="58"/>
      <c r="L87" s="58"/>
      <c r="M87" s="58"/>
      <c r="N87" s="5"/>
      <c r="O87" s="5"/>
      <c r="P87" s="5"/>
      <c r="Q87" s="5"/>
      <c r="R87" s="5"/>
      <c r="S87" s="5"/>
      <c r="T87" s="5"/>
      <c r="U87" s="5"/>
    </row>
    <row r="88" spans="1:21" ht="15.6" x14ac:dyDescent="0.3">
      <c r="B88" s="85"/>
      <c r="C88" s="51"/>
      <c r="D88" s="387" t="s">
        <v>495</v>
      </c>
      <c r="E88" s="51"/>
      <c r="F88" s="59"/>
      <c r="G88" s="59"/>
      <c r="H88" s="60"/>
      <c r="I88" s="60"/>
      <c r="J88" s="59"/>
      <c r="K88" s="59"/>
      <c r="L88" s="58"/>
      <c r="M88" s="58"/>
    </row>
    <row r="89" spans="1:21" ht="13.8" thickBot="1" x14ac:dyDescent="0.3">
      <c r="B89" s="171" t="s">
        <v>254</v>
      </c>
      <c r="C89" s="51"/>
      <c r="D89" s="51"/>
      <c r="E89" s="51"/>
      <c r="F89" s="53"/>
      <c r="G89" s="53"/>
      <c r="H89" s="52"/>
      <c r="I89" s="52"/>
      <c r="J89" s="58"/>
      <c r="K89" s="58"/>
      <c r="L89" s="58"/>
      <c r="M89" s="58"/>
    </row>
    <row r="90" spans="1:21" ht="13.8" thickBot="1" x14ac:dyDescent="0.3">
      <c r="B90" s="51"/>
      <c r="C90" s="51" t="s">
        <v>541</v>
      </c>
      <c r="D90" s="58"/>
      <c r="E90" s="51"/>
      <c r="F90" s="95">
        <v>2</v>
      </c>
      <c r="G90" s="53" t="s">
        <v>256</v>
      </c>
      <c r="H90" s="77">
        <v>18.8</v>
      </c>
      <c r="I90" s="52" t="s">
        <v>257</v>
      </c>
      <c r="J90" s="58">
        <f>F90*H90</f>
        <v>37.6</v>
      </c>
      <c r="K90" s="51" t="s">
        <v>57</v>
      </c>
      <c r="L90" s="58"/>
      <c r="M90" s="58"/>
    </row>
    <row r="91" spans="1:21" ht="13.8" thickBot="1" x14ac:dyDescent="0.3">
      <c r="B91" s="51"/>
      <c r="C91" s="51" t="s">
        <v>488</v>
      </c>
      <c r="D91" s="58"/>
      <c r="E91" s="51"/>
      <c r="F91" s="95">
        <v>0.1</v>
      </c>
      <c r="G91" s="53" t="s">
        <v>256</v>
      </c>
      <c r="H91" s="77">
        <v>39.200000000000003</v>
      </c>
      <c r="I91" s="52" t="s">
        <v>206</v>
      </c>
      <c r="J91" s="58">
        <f t="shared" ref="J91:J95" si="8">F91*H91</f>
        <v>3.9200000000000004</v>
      </c>
      <c r="K91" s="51" t="s">
        <v>57</v>
      </c>
      <c r="L91" s="58"/>
      <c r="M91" s="58"/>
    </row>
    <row r="92" spans="1:21" ht="13.8" thickBot="1" x14ac:dyDescent="0.3">
      <c r="B92" s="51"/>
      <c r="C92" s="51" t="s">
        <v>542</v>
      </c>
      <c r="D92" s="58"/>
      <c r="E92" s="51"/>
      <c r="F92" s="95">
        <v>0.3</v>
      </c>
      <c r="G92" s="53" t="s">
        <v>256</v>
      </c>
      <c r="H92" s="77">
        <v>48</v>
      </c>
      <c r="I92" s="52" t="s">
        <v>257</v>
      </c>
      <c r="J92" s="58">
        <f t="shared" si="8"/>
        <v>14.399999999999999</v>
      </c>
      <c r="K92" s="51" t="s">
        <v>57</v>
      </c>
      <c r="L92" s="58"/>
      <c r="M92" s="58"/>
    </row>
    <row r="93" spans="1:21" ht="13.8" thickBot="1" x14ac:dyDescent="0.3">
      <c r="B93" s="51"/>
      <c r="C93" s="51" t="s">
        <v>520</v>
      </c>
      <c r="D93" s="58"/>
      <c r="E93" s="51"/>
      <c r="F93" s="95"/>
      <c r="G93" s="53" t="s">
        <v>256</v>
      </c>
      <c r="H93" s="77"/>
      <c r="I93" s="52" t="s">
        <v>257</v>
      </c>
      <c r="J93" s="58">
        <f t="shared" si="8"/>
        <v>0</v>
      </c>
      <c r="K93" s="51" t="s">
        <v>57</v>
      </c>
      <c r="L93" s="58"/>
      <c r="M93" s="58"/>
    </row>
    <row r="94" spans="1:21" ht="13.8" thickBot="1" x14ac:dyDescent="0.3">
      <c r="B94" s="51"/>
      <c r="C94" s="51" t="s">
        <v>520</v>
      </c>
      <c r="D94" s="51"/>
      <c r="E94" s="51"/>
      <c r="F94" s="95"/>
      <c r="G94" s="53" t="s">
        <v>256</v>
      </c>
      <c r="H94" s="77"/>
      <c r="I94" s="52" t="s">
        <v>257</v>
      </c>
      <c r="J94" s="58">
        <f t="shared" si="8"/>
        <v>0</v>
      </c>
      <c r="K94" s="51" t="s">
        <v>57</v>
      </c>
      <c r="L94" s="58"/>
      <c r="M94" s="58"/>
    </row>
    <row r="95" spans="1:21" ht="13.8" thickBot="1" x14ac:dyDescent="0.3">
      <c r="B95" s="51"/>
      <c r="C95" s="51" t="s">
        <v>520</v>
      </c>
      <c r="D95" s="51"/>
      <c r="E95" s="51"/>
      <c r="F95" s="95"/>
      <c r="G95" s="53" t="s">
        <v>256</v>
      </c>
      <c r="H95" s="77"/>
      <c r="I95" s="52" t="s">
        <v>257</v>
      </c>
      <c r="J95" s="58">
        <f t="shared" si="8"/>
        <v>0</v>
      </c>
      <c r="K95" s="51" t="s">
        <v>57</v>
      </c>
      <c r="L95" s="58"/>
      <c r="M95" s="58"/>
    </row>
    <row r="96" spans="1:21" x14ac:dyDescent="0.25">
      <c r="B96" s="51"/>
      <c r="C96" s="51"/>
      <c r="D96" s="51"/>
      <c r="E96" s="51"/>
      <c r="F96" s="53"/>
      <c r="G96" s="53"/>
      <c r="H96" s="52"/>
      <c r="I96" s="52"/>
      <c r="J96" s="58"/>
      <c r="K96" s="51"/>
      <c r="L96" s="58"/>
      <c r="M96" s="58"/>
    </row>
    <row r="97" spans="1:13" ht="13.8" thickBot="1" x14ac:dyDescent="0.3">
      <c r="B97" s="171" t="s">
        <v>266</v>
      </c>
      <c r="C97" s="51"/>
      <c r="D97" s="51"/>
      <c r="E97" s="51"/>
      <c r="F97" s="53"/>
      <c r="G97" s="53"/>
      <c r="H97" s="52"/>
      <c r="I97" s="52"/>
      <c r="J97" s="58"/>
      <c r="K97" s="51"/>
      <c r="L97" s="58"/>
      <c r="M97" s="58"/>
    </row>
    <row r="98" spans="1:13" ht="13.8" thickBot="1" x14ac:dyDescent="0.3">
      <c r="B98" s="51"/>
      <c r="C98" s="51" t="s">
        <v>521</v>
      </c>
      <c r="D98" s="51"/>
      <c r="E98" s="51"/>
      <c r="F98" s="95"/>
      <c r="G98" s="53" t="s">
        <v>256</v>
      </c>
      <c r="H98" s="95"/>
      <c r="I98" s="52" t="s">
        <v>257</v>
      </c>
      <c r="J98" s="58">
        <f t="shared" ref="J98:J101" si="9">F98*H98</f>
        <v>0</v>
      </c>
      <c r="K98" s="51" t="s">
        <v>57</v>
      </c>
      <c r="L98" s="58"/>
      <c r="M98" s="58"/>
    </row>
    <row r="99" spans="1:13" ht="13.8" thickBot="1" x14ac:dyDescent="0.3">
      <c r="B99" s="51"/>
      <c r="C99" s="51" t="s">
        <v>521</v>
      </c>
      <c r="D99" s="51"/>
      <c r="E99" s="51"/>
      <c r="F99" s="95"/>
      <c r="G99" s="53" t="s">
        <v>256</v>
      </c>
      <c r="H99" s="95"/>
      <c r="I99" s="52" t="s">
        <v>257</v>
      </c>
      <c r="J99" s="58">
        <f t="shared" si="9"/>
        <v>0</v>
      </c>
      <c r="K99" s="51" t="s">
        <v>57</v>
      </c>
      <c r="L99" s="58"/>
      <c r="M99" s="58"/>
    </row>
    <row r="100" spans="1:13" ht="13.8" thickBot="1" x14ac:dyDescent="0.3">
      <c r="B100" s="51"/>
      <c r="C100" s="51" t="s">
        <v>521</v>
      </c>
      <c r="D100" s="51"/>
      <c r="E100" s="51"/>
      <c r="F100" s="95"/>
      <c r="G100" s="53" t="s">
        <v>256</v>
      </c>
      <c r="H100" s="95"/>
      <c r="I100" s="52" t="s">
        <v>257</v>
      </c>
      <c r="J100" s="58">
        <f t="shared" si="9"/>
        <v>0</v>
      </c>
      <c r="K100" s="51" t="s">
        <v>57</v>
      </c>
      <c r="L100" s="58"/>
      <c r="M100" s="58"/>
    </row>
    <row r="101" spans="1:13" ht="13.8" thickBot="1" x14ac:dyDescent="0.3">
      <c r="B101" s="51"/>
      <c r="C101" s="51" t="s">
        <v>521</v>
      </c>
      <c r="D101" s="51"/>
      <c r="E101" s="51"/>
      <c r="F101" s="95"/>
      <c r="G101" s="53" t="s">
        <v>256</v>
      </c>
      <c r="H101" s="95"/>
      <c r="I101" s="52" t="s">
        <v>257</v>
      </c>
      <c r="J101" s="58">
        <f t="shared" si="9"/>
        <v>0</v>
      </c>
      <c r="K101" s="51" t="s">
        <v>57</v>
      </c>
      <c r="L101" s="58"/>
      <c r="M101" s="58"/>
    </row>
    <row r="102" spans="1:13" s="5" customFormat="1" x14ac:dyDescent="0.25">
      <c r="A102" s="209"/>
      <c r="B102" s="195"/>
      <c r="C102" s="195" t="s">
        <v>54</v>
      </c>
      <c r="D102" s="195"/>
      <c r="E102" s="195"/>
      <c r="F102" s="196"/>
      <c r="G102" s="196"/>
      <c r="H102" s="196"/>
      <c r="I102" s="197"/>
      <c r="J102" s="197">
        <f>SUM(J90:J101)</f>
        <v>55.92</v>
      </c>
      <c r="K102" s="195" t="s">
        <v>57</v>
      </c>
      <c r="L102" s="195"/>
      <c r="M102" s="195"/>
    </row>
    <row r="103" spans="1:13" x14ac:dyDescent="0.25">
      <c r="B103" s="51"/>
      <c r="C103" s="51"/>
      <c r="D103" s="51"/>
      <c r="E103" s="51"/>
      <c r="F103" s="53"/>
      <c r="G103" s="53"/>
      <c r="H103" s="52"/>
      <c r="I103" s="52"/>
      <c r="J103" s="58"/>
      <c r="K103" s="51"/>
      <c r="L103" s="58"/>
      <c r="M103" s="58"/>
    </row>
    <row r="104" spans="1:13" x14ac:dyDescent="0.25">
      <c r="A104" s="634"/>
    </row>
    <row r="105" spans="1:13" ht="15.6" x14ac:dyDescent="0.3">
      <c r="A105" s="634"/>
      <c r="B105" s="86" t="s">
        <v>367</v>
      </c>
      <c r="C105" s="61"/>
      <c r="D105" s="61"/>
      <c r="E105" s="61"/>
      <c r="F105" s="1071" t="s">
        <v>114</v>
      </c>
      <c r="G105" s="1071"/>
      <c r="H105" s="1071" t="s">
        <v>113</v>
      </c>
      <c r="I105" s="1071"/>
      <c r="J105" s="1071" t="s">
        <v>243</v>
      </c>
      <c r="K105" s="1071"/>
      <c r="L105" s="63"/>
      <c r="M105" s="63"/>
    </row>
    <row r="106" spans="1:13" ht="13.8" thickBot="1" x14ac:dyDescent="0.3">
      <c r="A106" s="634"/>
      <c r="B106" s="61"/>
      <c r="C106" s="61"/>
      <c r="D106" s="61"/>
      <c r="E106" s="61"/>
      <c r="F106" s="61"/>
      <c r="G106" s="61"/>
      <c r="H106" s="62"/>
      <c r="I106" s="62"/>
      <c r="J106" s="63"/>
      <c r="K106" s="63"/>
      <c r="L106" s="63"/>
      <c r="M106" s="63"/>
    </row>
    <row r="107" spans="1:13" ht="13.8" thickBot="1" x14ac:dyDescent="0.3">
      <c r="A107" s="634"/>
      <c r="B107" s="61"/>
      <c r="C107" s="61" t="s">
        <v>368</v>
      </c>
      <c r="D107" s="63"/>
      <c r="E107" s="61"/>
      <c r="F107" s="388">
        <f>S10*'Gårdens info'!$G$19/1</f>
        <v>0</v>
      </c>
      <c r="G107" s="61" t="s">
        <v>31</v>
      </c>
      <c r="H107" s="77">
        <v>0.01</v>
      </c>
      <c r="I107" s="62" t="s">
        <v>246</v>
      </c>
      <c r="J107" s="64">
        <f>F107*H107</f>
        <v>0</v>
      </c>
      <c r="K107" s="61" t="s">
        <v>57</v>
      </c>
      <c r="L107" s="63"/>
      <c r="M107" s="63"/>
    </row>
    <row r="108" spans="1:13" ht="13.8" thickBot="1" x14ac:dyDescent="0.3">
      <c r="A108" s="634"/>
      <c r="B108" s="61"/>
      <c r="C108" s="61" t="s">
        <v>369</v>
      </c>
      <c r="D108" s="63"/>
      <c r="E108" s="61"/>
      <c r="F108" s="388">
        <f>S11*'Gårdens info'!$G$19/1</f>
        <v>0</v>
      </c>
      <c r="G108" s="61" t="s">
        <v>31</v>
      </c>
      <c r="H108" s="77">
        <v>0.01</v>
      </c>
      <c r="I108" s="62" t="s">
        <v>246</v>
      </c>
      <c r="J108" s="64">
        <f t="shared" ref="J108:J114" si="10">F108*H108</f>
        <v>0</v>
      </c>
      <c r="K108" s="61" t="s">
        <v>57</v>
      </c>
      <c r="L108" s="63"/>
      <c r="M108" s="63"/>
    </row>
    <row r="109" spans="1:13" ht="13.8" thickBot="1" x14ac:dyDescent="0.3">
      <c r="A109" s="634"/>
      <c r="B109" s="61"/>
      <c r="C109" s="61" t="s">
        <v>270</v>
      </c>
      <c r="D109" s="63"/>
      <c r="E109" s="61"/>
      <c r="F109" s="388">
        <f>S12*'Gårdens info'!$G$19/1</f>
        <v>0</v>
      </c>
      <c r="G109" s="61" t="s">
        <v>31</v>
      </c>
      <c r="H109" s="77">
        <v>0.01</v>
      </c>
      <c r="I109" s="62" t="s">
        <v>246</v>
      </c>
      <c r="J109" s="64">
        <f t="shared" si="10"/>
        <v>0</v>
      </c>
      <c r="K109" s="61" t="s">
        <v>57</v>
      </c>
      <c r="L109" s="63"/>
      <c r="M109" s="63"/>
    </row>
    <row r="110" spans="1:13" ht="13.8" thickBot="1" x14ac:dyDescent="0.3">
      <c r="A110" s="634"/>
      <c r="B110" s="61"/>
      <c r="C110" s="61" t="s">
        <v>271</v>
      </c>
      <c r="D110" s="63"/>
      <c r="E110" s="61"/>
      <c r="F110" s="388">
        <f>S13*'Gårdens info'!$G$19/1</f>
        <v>0</v>
      </c>
      <c r="G110" s="61" t="s">
        <v>31</v>
      </c>
      <c r="H110" s="77">
        <v>0.05</v>
      </c>
      <c r="I110" s="62" t="s">
        <v>246</v>
      </c>
      <c r="J110" s="64">
        <f t="shared" si="10"/>
        <v>0</v>
      </c>
      <c r="K110" s="61" t="s">
        <v>57</v>
      </c>
      <c r="L110" s="63"/>
      <c r="M110" s="63"/>
    </row>
    <row r="111" spans="1:13" ht="13.8" thickBot="1" x14ac:dyDescent="0.3">
      <c r="A111" s="634"/>
      <c r="B111" s="61"/>
      <c r="C111" s="77" t="s">
        <v>523</v>
      </c>
      <c r="D111" s="77"/>
      <c r="E111" s="61" t="s">
        <v>212</v>
      </c>
      <c r="F111" s="388">
        <f>IF(S14&gt;0,S14*'Gårdens info'!$G$19/D111,0)</f>
        <v>0</v>
      </c>
      <c r="G111" s="61" t="s">
        <v>31</v>
      </c>
      <c r="H111" s="77"/>
      <c r="I111" s="62" t="s">
        <v>246</v>
      </c>
      <c r="J111" s="64">
        <f t="shared" si="10"/>
        <v>0</v>
      </c>
      <c r="K111" s="61" t="s">
        <v>57</v>
      </c>
      <c r="L111" s="63"/>
      <c r="M111" s="63"/>
    </row>
    <row r="112" spans="1:13" ht="13.8" thickBot="1" x14ac:dyDescent="0.3">
      <c r="A112" s="634"/>
      <c r="B112" s="61"/>
      <c r="C112" s="77" t="s">
        <v>523</v>
      </c>
      <c r="D112" s="77"/>
      <c r="E112" s="61" t="s">
        <v>212</v>
      </c>
      <c r="F112" s="388">
        <f>IF(S15&gt;0,S15*'Gårdens info'!$G$19/D112,0)</f>
        <v>0</v>
      </c>
      <c r="G112" s="61" t="s">
        <v>31</v>
      </c>
      <c r="H112" s="77"/>
      <c r="I112" s="62" t="s">
        <v>246</v>
      </c>
      <c r="J112" s="64">
        <f t="shared" ref="J112:J113" si="11">F112*H112</f>
        <v>0</v>
      </c>
      <c r="K112" s="61" t="s">
        <v>57</v>
      </c>
      <c r="L112" s="63"/>
      <c r="M112" s="63"/>
    </row>
    <row r="113" spans="1:21" ht="13.8" thickBot="1" x14ac:dyDescent="0.3">
      <c r="A113" s="634"/>
      <c r="B113" s="61"/>
      <c r="C113" s="77" t="s">
        <v>523</v>
      </c>
      <c r="D113" s="77"/>
      <c r="E113" s="61" t="s">
        <v>212</v>
      </c>
      <c r="F113" s="388">
        <f>IF(S16&gt;0,S16*'Gårdens info'!$G$19/D113,0)</f>
        <v>0</v>
      </c>
      <c r="G113" s="61" t="s">
        <v>31</v>
      </c>
      <c r="H113" s="77"/>
      <c r="I113" s="62" t="s">
        <v>246</v>
      </c>
      <c r="J113" s="64">
        <f t="shared" si="11"/>
        <v>0</v>
      </c>
      <c r="K113" s="61" t="s">
        <v>57</v>
      </c>
      <c r="L113" s="63"/>
      <c r="M113" s="63"/>
    </row>
    <row r="114" spans="1:21" ht="13.8" thickBot="1" x14ac:dyDescent="0.3">
      <c r="A114" s="634"/>
      <c r="B114" s="61"/>
      <c r="C114" s="77" t="s">
        <v>523</v>
      </c>
      <c r="D114" s="77"/>
      <c r="E114" s="61" t="s">
        <v>212</v>
      </c>
      <c r="F114" s="388">
        <f>IF(S17&gt;0,S17*'Gårdens info'!$G$19/D114,0)</f>
        <v>0</v>
      </c>
      <c r="G114" s="61" t="s">
        <v>31</v>
      </c>
      <c r="H114" s="77"/>
      <c r="I114" s="62" t="s">
        <v>246</v>
      </c>
      <c r="J114" s="64">
        <f t="shared" si="10"/>
        <v>0</v>
      </c>
      <c r="K114" s="61" t="s">
        <v>57</v>
      </c>
      <c r="L114" s="63"/>
      <c r="M114" s="63"/>
    </row>
    <row r="115" spans="1:21" x14ac:dyDescent="0.25">
      <c r="A115" s="634"/>
      <c r="B115" s="198"/>
      <c r="C115" s="198" t="s">
        <v>54</v>
      </c>
      <c r="D115" s="198"/>
      <c r="E115" s="198"/>
      <c r="F115" s="198"/>
      <c r="G115" s="61" t="s">
        <v>31</v>
      </c>
      <c r="H115" s="199"/>
      <c r="I115" s="199"/>
      <c r="J115" s="200">
        <f>SUM(J107:J114)</f>
        <v>0</v>
      </c>
      <c r="K115" s="198" t="s">
        <v>57</v>
      </c>
      <c r="L115" s="198"/>
      <c r="M115" s="198"/>
    </row>
    <row r="116" spans="1:21" x14ac:dyDescent="0.25">
      <c r="A116" s="634"/>
      <c r="B116" s="61"/>
      <c r="C116" s="61"/>
      <c r="D116" s="61"/>
      <c r="E116" s="61"/>
      <c r="F116" s="61"/>
      <c r="G116" s="61"/>
      <c r="H116" s="62"/>
      <c r="I116" s="62"/>
      <c r="J116" s="64"/>
      <c r="K116" s="61"/>
      <c r="L116" s="63"/>
      <c r="M116" s="63"/>
    </row>
    <row r="117" spans="1:21" x14ac:dyDescent="0.25">
      <c r="A117" s="634"/>
    </row>
    <row r="118" spans="1:21" s="5" customFormat="1" ht="15.6" x14ac:dyDescent="0.3">
      <c r="A118" s="635"/>
      <c r="B118" s="87" t="s">
        <v>273</v>
      </c>
      <c r="C118" s="65"/>
      <c r="D118" s="65"/>
      <c r="E118" s="65"/>
      <c r="F118" s="1072" t="s">
        <v>114</v>
      </c>
      <c r="G118" s="1072"/>
      <c r="H118" s="1072" t="s">
        <v>113</v>
      </c>
      <c r="I118" s="1072"/>
      <c r="J118" s="1072" t="s">
        <v>243</v>
      </c>
      <c r="K118" s="1072"/>
      <c r="L118" s="67"/>
      <c r="M118" s="67"/>
      <c r="N118"/>
      <c r="O118"/>
      <c r="P118"/>
      <c r="Q118"/>
      <c r="R118"/>
      <c r="S118"/>
      <c r="T118"/>
      <c r="U118"/>
    </row>
    <row r="119" spans="1:21" ht="13.8" thickBot="1" x14ac:dyDescent="0.3">
      <c r="A119" s="634"/>
      <c r="B119" s="65"/>
      <c r="C119" s="65"/>
      <c r="D119" s="65"/>
      <c r="E119" s="65"/>
      <c r="F119" s="65"/>
      <c r="G119" s="65"/>
      <c r="H119" s="66"/>
      <c r="I119" s="66"/>
      <c r="J119" s="67"/>
      <c r="K119" s="67"/>
      <c r="L119" s="67"/>
      <c r="M119" s="67"/>
    </row>
    <row r="120" spans="1:21" ht="13.8" thickBot="1" x14ac:dyDescent="0.3">
      <c r="A120" s="634"/>
      <c r="B120" s="65"/>
      <c r="C120" s="65" t="s">
        <v>222</v>
      </c>
      <c r="D120" s="67"/>
      <c r="E120" s="65"/>
      <c r="F120" s="74">
        <f>'Gårdens info'!G19*'Gårdens info'!D19*0.9</f>
        <v>0</v>
      </c>
      <c r="G120" s="65" t="s">
        <v>212</v>
      </c>
      <c r="H120" s="77">
        <v>0.02</v>
      </c>
      <c r="I120" s="66" t="s">
        <v>206</v>
      </c>
      <c r="J120" s="68">
        <f t="shared" ref="J120:J122" si="12">F120*H120</f>
        <v>0</v>
      </c>
      <c r="K120" s="65" t="s">
        <v>57</v>
      </c>
      <c r="L120" s="67"/>
      <c r="M120" s="67"/>
      <c r="N120" s="5"/>
      <c r="O120" s="5"/>
      <c r="P120" s="5"/>
      <c r="Q120" s="5"/>
      <c r="R120" s="5"/>
      <c r="S120" s="5"/>
      <c r="T120" s="5"/>
      <c r="U120" s="5"/>
    </row>
    <row r="121" spans="1:21" ht="13.8" thickBot="1" x14ac:dyDescent="0.3">
      <c r="A121" s="634"/>
      <c r="B121" s="65"/>
      <c r="C121" s="65" t="s">
        <v>372</v>
      </c>
      <c r="D121" s="65"/>
      <c r="E121" s="65"/>
      <c r="F121" s="74"/>
      <c r="G121" s="65" t="s">
        <v>212</v>
      </c>
      <c r="H121" s="77"/>
      <c r="I121" s="66" t="s">
        <v>206</v>
      </c>
      <c r="J121" s="68">
        <f t="shared" si="12"/>
        <v>0</v>
      </c>
      <c r="K121" s="65" t="s">
        <v>57</v>
      </c>
      <c r="L121" s="67"/>
      <c r="M121" s="67"/>
    </row>
    <row r="122" spans="1:21" ht="13.8" thickBot="1" x14ac:dyDescent="0.3">
      <c r="A122" s="634"/>
      <c r="B122" s="65"/>
      <c r="C122" s="65" t="s">
        <v>372</v>
      </c>
      <c r="D122" s="65"/>
      <c r="E122" s="65"/>
      <c r="F122" s="74"/>
      <c r="G122" s="65" t="s">
        <v>212</v>
      </c>
      <c r="H122" s="77"/>
      <c r="I122" s="66" t="s">
        <v>206</v>
      </c>
      <c r="J122" s="68">
        <f t="shared" si="12"/>
        <v>0</v>
      </c>
      <c r="K122" s="65" t="s">
        <v>57</v>
      </c>
      <c r="L122" s="67"/>
      <c r="M122" s="67"/>
    </row>
    <row r="123" spans="1:21" x14ac:dyDescent="0.25">
      <c r="A123" s="634"/>
      <c r="B123" s="201"/>
      <c r="C123" s="201" t="s">
        <v>54</v>
      </c>
      <c r="D123" s="201"/>
      <c r="E123" s="201"/>
      <c r="F123" s="201"/>
      <c r="G123" s="201"/>
      <c r="H123" s="202"/>
      <c r="I123" s="202"/>
      <c r="J123" s="203">
        <f>SUM(J120:J122)</f>
        <v>0</v>
      </c>
      <c r="K123" s="201" t="s">
        <v>57</v>
      </c>
      <c r="L123" s="201"/>
      <c r="M123" s="201"/>
    </row>
    <row r="124" spans="1:21" x14ac:dyDescent="0.25">
      <c r="A124" s="634"/>
      <c r="B124" s="65"/>
      <c r="C124" s="65"/>
      <c r="D124" s="65"/>
      <c r="E124" s="65"/>
      <c r="F124" s="65"/>
      <c r="G124" s="65"/>
      <c r="H124" s="66"/>
      <c r="I124" s="66"/>
      <c r="J124" s="68"/>
      <c r="K124" s="65"/>
      <c r="L124" s="67"/>
      <c r="M124" s="67"/>
    </row>
    <row r="125" spans="1:21" x14ac:dyDescent="0.25">
      <c r="A125" s="634"/>
    </row>
    <row r="126" spans="1:21" ht="15.6" x14ac:dyDescent="0.3">
      <c r="A126" s="634"/>
      <c r="B126" s="176" t="s">
        <v>275</v>
      </c>
      <c r="C126" s="177"/>
      <c r="D126" s="177"/>
      <c r="E126" s="177"/>
      <c r="F126" s="1067" t="s">
        <v>114</v>
      </c>
      <c r="G126" s="1067"/>
      <c r="H126" s="1067" t="s">
        <v>113</v>
      </c>
      <c r="I126" s="1067"/>
      <c r="J126" s="1067" t="s">
        <v>243</v>
      </c>
      <c r="K126" s="1067"/>
      <c r="L126" s="179"/>
      <c r="M126" s="179"/>
    </row>
    <row r="127" spans="1:21" ht="13.8" thickBot="1" x14ac:dyDescent="0.3">
      <c r="A127" s="634"/>
      <c r="B127" s="177"/>
      <c r="C127" s="177"/>
      <c r="D127" s="177"/>
      <c r="E127" s="177"/>
      <c r="F127" s="177"/>
      <c r="G127" s="177"/>
      <c r="H127" s="178"/>
      <c r="I127" s="178"/>
      <c r="J127" s="179"/>
      <c r="K127" s="179"/>
      <c r="L127" s="179"/>
      <c r="M127" s="179"/>
    </row>
    <row r="128" spans="1:21" ht="13.8" thickBot="1" x14ac:dyDescent="0.3">
      <c r="A128" s="634"/>
      <c r="B128" s="177"/>
      <c r="C128" s="177" t="s">
        <v>276</v>
      </c>
      <c r="D128" s="179"/>
      <c r="E128" s="177"/>
      <c r="F128" s="74"/>
      <c r="G128" s="177" t="s">
        <v>7</v>
      </c>
      <c r="H128" s="77"/>
      <c r="I128" s="178" t="s">
        <v>57</v>
      </c>
      <c r="J128" s="180">
        <f t="shared" ref="J128:J130" si="13">F128*H128</f>
        <v>0</v>
      </c>
      <c r="K128" s="177" t="s">
        <v>57</v>
      </c>
      <c r="L128" s="179"/>
      <c r="M128" s="179"/>
    </row>
    <row r="129" spans="1:21" ht="13.8" thickBot="1" x14ac:dyDescent="0.3">
      <c r="B129" s="177"/>
      <c r="C129" s="177" t="s">
        <v>276</v>
      </c>
      <c r="D129" s="177"/>
      <c r="E129" s="177"/>
      <c r="F129" s="74"/>
      <c r="G129" s="177" t="s">
        <v>7</v>
      </c>
      <c r="H129" s="77"/>
      <c r="I129" s="178" t="s">
        <v>57</v>
      </c>
      <c r="J129" s="180">
        <f t="shared" si="13"/>
        <v>0</v>
      </c>
      <c r="K129" s="177" t="s">
        <v>57</v>
      </c>
      <c r="L129" s="179"/>
      <c r="M129" s="179"/>
    </row>
    <row r="130" spans="1:21" ht="13.8" thickBot="1" x14ac:dyDescent="0.3">
      <c r="B130" s="177"/>
      <c r="C130" s="177" t="s">
        <v>276</v>
      </c>
      <c r="D130" s="177"/>
      <c r="E130" s="177"/>
      <c r="F130" s="74"/>
      <c r="G130" s="177" t="s">
        <v>7</v>
      </c>
      <c r="H130" s="77"/>
      <c r="I130" s="178" t="s">
        <v>57</v>
      </c>
      <c r="J130" s="180">
        <f t="shared" si="13"/>
        <v>0</v>
      </c>
      <c r="K130" s="177" t="s">
        <v>57</v>
      </c>
      <c r="L130" s="179"/>
      <c r="M130" s="179"/>
    </row>
    <row r="131" spans="1:21" s="5" customFormat="1" x14ac:dyDescent="0.25">
      <c r="A131" s="209"/>
      <c r="B131" s="204"/>
      <c r="C131" s="204" t="s">
        <v>54</v>
      </c>
      <c r="D131" s="204"/>
      <c r="E131" s="204"/>
      <c r="F131" s="204"/>
      <c r="G131" s="204"/>
      <c r="H131" s="205"/>
      <c r="I131" s="205"/>
      <c r="J131" s="206">
        <f>SUM(J128:J130)</f>
        <v>0</v>
      </c>
      <c r="K131" s="204" t="s">
        <v>57</v>
      </c>
      <c r="L131" s="204"/>
      <c r="M131" s="204"/>
      <c r="N131"/>
      <c r="O131"/>
      <c r="P131"/>
      <c r="Q131"/>
      <c r="R131"/>
      <c r="S131"/>
      <c r="T131"/>
      <c r="U131"/>
    </row>
    <row r="132" spans="1:21" x14ac:dyDescent="0.25">
      <c r="B132" s="177"/>
      <c r="C132" s="177"/>
      <c r="D132" s="177"/>
      <c r="E132" s="177"/>
      <c r="F132" s="177"/>
      <c r="G132" s="177"/>
      <c r="H132" s="178"/>
      <c r="I132" s="178"/>
      <c r="J132" s="180"/>
      <c r="K132" s="177"/>
      <c r="L132" s="179"/>
      <c r="M132" s="179"/>
    </row>
    <row r="133" spans="1:21" ht="30" customHeight="1" x14ac:dyDescent="0.25">
      <c r="N133" s="5"/>
      <c r="O133" s="5"/>
      <c r="P133" s="5"/>
      <c r="Q133" s="5"/>
      <c r="R133" s="5"/>
      <c r="S133" s="5"/>
      <c r="T133" s="5"/>
      <c r="U133" s="5"/>
    </row>
    <row r="134" spans="1:21" ht="15.6" x14ac:dyDescent="0.3">
      <c r="B134" s="181" t="s">
        <v>490</v>
      </c>
      <c r="C134" s="182"/>
      <c r="D134" s="182"/>
      <c r="E134" s="183"/>
      <c r="F134" s="182" t="s">
        <v>543</v>
      </c>
      <c r="G134" s="184"/>
      <c r="H134" s="184" t="s">
        <v>544</v>
      </c>
      <c r="I134" s="182"/>
      <c r="J134" s="182"/>
      <c r="K134" s="185"/>
      <c r="L134" s="185"/>
      <c r="M134" s="185"/>
    </row>
    <row r="135" spans="1:21" ht="16.2" thickBot="1" x14ac:dyDescent="0.35">
      <c r="B135" s="181"/>
      <c r="C135" s="182"/>
      <c r="D135" s="182"/>
      <c r="E135" s="183"/>
      <c r="F135" s="182"/>
      <c r="G135" s="184"/>
      <c r="H135" s="184"/>
      <c r="I135" s="182"/>
      <c r="J135" s="182"/>
      <c r="K135" s="185"/>
      <c r="L135" s="185"/>
      <c r="M135" s="185"/>
    </row>
    <row r="136" spans="1:21" ht="13.8" thickBot="1" x14ac:dyDescent="0.3">
      <c r="B136" s="182"/>
      <c r="C136" s="182" t="s">
        <v>278</v>
      </c>
      <c r="D136" s="185"/>
      <c r="E136" s="186"/>
      <c r="F136" s="74">
        <v>10500</v>
      </c>
      <c r="G136" s="187" t="s">
        <v>279</v>
      </c>
      <c r="H136" s="74">
        <v>0.15</v>
      </c>
      <c r="I136" s="188" t="s">
        <v>280</v>
      </c>
      <c r="J136" s="185">
        <f>H136*F136</f>
        <v>1575</v>
      </c>
      <c r="K136" s="188" t="s">
        <v>57</v>
      </c>
      <c r="L136" s="185"/>
      <c r="M136" s="185"/>
    </row>
    <row r="137" spans="1:21" ht="13.8" thickBot="1" x14ac:dyDescent="0.3">
      <c r="B137" s="182"/>
      <c r="C137" s="182" t="s">
        <v>281</v>
      </c>
      <c r="D137" s="188">
        <f>F169/2</f>
        <v>72</v>
      </c>
      <c r="E137" s="182" t="s">
        <v>282</v>
      </c>
      <c r="F137" s="74">
        <f>+D137*8</f>
        <v>576</v>
      </c>
      <c r="G137" s="184" t="s">
        <v>256</v>
      </c>
      <c r="H137" s="74">
        <v>0.83</v>
      </c>
      <c r="I137" s="188" t="s">
        <v>257</v>
      </c>
      <c r="J137" s="185">
        <f>H137*F137</f>
        <v>478.08</v>
      </c>
      <c r="K137" s="188" t="s">
        <v>57</v>
      </c>
      <c r="L137" s="185"/>
      <c r="M137" s="185"/>
    </row>
    <row r="138" spans="1:21" ht="13.8" thickBot="1" x14ac:dyDescent="0.3">
      <c r="B138" s="182"/>
      <c r="C138" s="182" t="s">
        <v>283</v>
      </c>
      <c r="D138" s="188">
        <f>D137</f>
        <v>72</v>
      </c>
      <c r="E138" s="182" t="s">
        <v>282</v>
      </c>
      <c r="F138" s="74">
        <v>11.88</v>
      </c>
      <c r="G138" s="184" t="s">
        <v>212</v>
      </c>
      <c r="H138" s="74">
        <v>4</v>
      </c>
      <c r="I138" s="188" t="s">
        <v>206</v>
      </c>
      <c r="J138" s="185">
        <f t="shared" ref="J138:J142" si="14">H138*F138</f>
        <v>47.52</v>
      </c>
      <c r="K138" s="188" t="s">
        <v>57</v>
      </c>
      <c r="L138" s="185"/>
      <c r="M138" s="185"/>
    </row>
    <row r="139" spans="1:21" ht="13.8" thickBot="1" x14ac:dyDescent="0.3">
      <c r="B139" s="182"/>
      <c r="C139" s="182" t="s">
        <v>284</v>
      </c>
      <c r="D139" s="185"/>
      <c r="E139" s="188"/>
      <c r="F139" s="74">
        <v>200</v>
      </c>
      <c r="G139" s="184" t="s">
        <v>256</v>
      </c>
      <c r="H139" s="74">
        <v>1.53</v>
      </c>
      <c r="I139" s="188" t="s">
        <v>257</v>
      </c>
      <c r="J139" s="185">
        <f t="shared" si="14"/>
        <v>306</v>
      </c>
      <c r="K139" s="188" t="s">
        <v>57</v>
      </c>
      <c r="L139" s="185"/>
      <c r="M139" s="185"/>
    </row>
    <row r="140" spans="1:21" ht="13.8" thickBot="1" x14ac:dyDescent="0.3">
      <c r="B140" s="182"/>
      <c r="C140" s="182" t="s">
        <v>285</v>
      </c>
      <c r="D140" s="185"/>
      <c r="E140" s="188"/>
      <c r="F140" s="74"/>
      <c r="G140" s="184" t="s">
        <v>256</v>
      </c>
      <c r="H140" s="74"/>
      <c r="I140" s="188" t="s">
        <v>257</v>
      </c>
      <c r="J140" s="185">
        <f t="shared" si="14"/>
        <v>0</v>
      </c>
      <c r="K140" s="188" t="s">
        <v>57</v>
      </c>
      <c r="L140" s="185"/>
      <c r="M140" s="185"/>
    </row>
    <row r="141" spans="1:21" ht="13.8" thickBot="1" x14ac:dyDescent="0.3">
      <c r="B141" s="182"/>
      <c r="C141" s="182" t="s">
        <v>286</v>
      </c>
      <c r="D141" s="185"/>
      <c r="E141" s="188"/>
      <c r="F141" s="74"/>
      <c r="G141" s="184"/>
      <c r="H141" s="74"/>
      <c r="I141" s="188"/>
      <c r="J141" s="185">
        <f t="shared" si="14"/>
        <v>0</v>
      </c>
      <c r="K141" s="188" t="s">
        <v>57</v>
      </c>
      <c r="L141" s="185"/>
      <c r="M141" s="185"/>
    </row>
    <row r="142" spans="1:21" ht="13.8" thickBot="1" x14ac:dyDescent="0.3">
      <c r="B142" s="185"/>
      <c r="C142" s="182" t="s">
        <v>286</v>
      </c>
      <c r="D142" s="185"/>
      <c r="E142" s="185"/>
      <c r="F142" s="74"/>
      <c r="G142" s="185"/>
      <c r="H142" s="74"/>
      <c r="I142" s="185"/>
      <c r="J142" s="185">
        <f t="shared" si="14"/>
        <v>0</v>
      </c>
      <c r="K142" s="188" t="s">
        <v>57</v>
      </c>
      <c r="L142" s="185"/>
      <c r="M142" s="185"/>
    </row>
    <row r="143" spans="1:21" s="5" customFormat="1" x14ac:dyDescent="0.25">
      <c r="A143" s="209"/>
      <c r="B143" s="207"/>
      <c r="C143" s="207" t="s">
        <v>54</v>
      </c>
      <c r="D143" s="207"/>
      <c r="E143" s="207"/>
      <c r="F143" s="207"/>
      <c r="G143" s="207"/>
      <c r="H143" s="207"/>
      <c r="I143" s="207"/>
      <c r="J143" s="207">
        <f>SUM(J136:J142)</f>
        <v>2406.6</v>
      </c>
      <c r="K143" s="208" t="s">
        <v>57</v>
      </c>
      <c r="L143" s="207"/>
      <c r="M143" s="207"/>
    </row>
    <row r="144" spans="1:21" x14ac:dyDescent="0.25">
      <c r="B144" s="185"/>
      <c r="C144" s="185"/>
      <c r="D144" s="185"/>
      <c r="E144" s="185"/>
      <c r="F144" s="185"/>
      <c r="G144" s="185"/>
      <c r="H144" s="185"/>
      <c r="I144" s="185"/>
      <c r="J144" s="185"/>
      <c r="K144" s="185"/>
      <c r="L144" s="185"/>
      <c r="M144" s="185"/>
    </row>
    <row r="146" spans="1:21" ht="15.6" x14ac:dyDescent="0.3">
      <c r="B146" s="88" t="s">
        <v>287</v>
      </c>
      <c r="C146" s="79"/>
      <c r="D146" s="79"/>
      <c r="E146" s="79"/>
      <c r="F146" s="79"/>
      <c r="G146" s="79"/>
      <c r="H146" s="79"/>
      <c r="I146" s="79"/>
      <c r="J146" s="79"/>
      <c r="K146" s="79"/>
      <c r="L146" s="79"/>
      <c r="M146" s="79"/>
    </row>
    <row r="147" spans="1:21" ht="15.6" x14ac:dyDescent="0.3">
      <c r="B147" s="88"/>
      <c r="C147" s="79"/>
      <c r="D147" s="79"/>
      <c r="E147" s="79"/>
      <c r="F147" s="79"/>
      <c r="G147" s="79"/>
      <c r="H147" s="79"/>
      <c r="I147" s="79"/>
      <c r="J147" s="79"/>
      <c r="K147" s="79"/>
      <c r="L147" s="79"/>
      <c r="M147" s="79"/>
    </row>
    <row r="148" spans="1:21" ht="15" customHeight="1" x14ac:dyDescent="0.25">
      <c r="B148" s="1112" t="s">
        <v>499</v>
      </c>
      <c r="C148" s="1112"/>
      <c r="D148" s="1112"/>
      <c r="E148" s="1112"/>
      <c r="F148" s="1112"/>
      <c r="G148" s="1112"/>
      <c r="H148" s="1112"/>
      <c r="I148" s="1112"/>
      <c r="J148" s="1112"/>
      <c r="K148" s="1112"/>
      <c r="L148" s="1112"/>
      <c r="M148" s="1112"/>
    </row>
    <row r="149" spans="1:21" s="5" customFormat="1" x14ac:dyDescent="0.25">
      <c r="A149" s="209"/>
      <c r="B149" s="1112"/>
      <c r="C149" s="1112"/>
      <c r="D149" s="1112"/>
      <c r="E149" s="1112"/>
      <c r="F149" s="1112"/>
      <c r="G149" s="1112"/>
      <c r="H149" s="1112"/>
      <c r="I149" s="1112"/>
      <c r="J149" s="1112"/>
      <c r="K149" s="1112"/>
      <c r="L149" s="1112"/>
      <c r="M149" s="1112"/>
      <c r="N149"/>
      <c r="O149"/>
      <c r="P149"/>
      <c r="Q149"/>
      <c r="R149"/>
      <c r="S149"/>
      <c r="T149"/>
      <c r="U149"/>
    </row>
    <row r="150" spans="1:21" ht="15.6" x14ac:dyDescent="0.3">
      <c r="B150" s="88"/>
      <c r="C150" s="79"/>
      <c r="D150" s="79"/>
      <c r="E150" s="1069" t="s">
        <v>290</v>
      </c>
      <c r="F150" s="1069"/>
      <c r="G150" s="1069"/>
      <c r="H150" s="1070" t="s">
        <v>113</v>
      </c>
      <c r="I150" s="1070"/>
      <c r="J150" s="1069" t="s">
        <v>291</v>
      </c>
      <c r="K150" s="1069"/>
      <c r="L150" s="1070" t="s">
        <v>113</v>
      </c>
      <c r="M150" s="1070"/>
    </row>
    <row r="151" spans="1:21" ht="33" customHeight="1" thickBot="1" x14ac:dyDescent="0.3">
      <c r="B151" s="78"/>
      <c r="C151" s="79"/>
      <c r="D151" s="79"/>
      <c r="E151" s="79"/>
      <c r="F151" s="79"/>
      <c r="G151" s="79"/>
      <c r="H151" s="79"/>
      <c r="I151" s="79"/>
      <c r="J151" s="79"/>
      <c r="K151" s="79"/>
      <c r="L151" s="79"/>
      <c r="M151" s="79"/>
      <c r="N151" s="5"/>
      <c r="O151" s="5"/>
      <c r="P151" s="5"/>
      <c r="Q151" s="5"/>
      <c r="R151" s="5"/>
      <c r="S151" s="5"/>
      <c r="T151" s="5"/>
      <c r="U151" s="5"/>
    </row>
    <row r="152" spans="1:21" ht="13.8" thickBot="1" x14ac:dyDescent="0.3">
      <c r="B152" s="79"/>
      <c r="C152" s="80" t="s">
        <v>292</v>
      </c>
      <c r="D152" s="79"/>
      <c r="E152" s="79"/>
      <c r="F152" s="91">
        <v>2</v>
      </c>
      <c r="G152" s="82" t="s">
        <v>293</v>
      </c>
      <c r="H152" s="93">
        <v>14.5</v>
      </c>
      <c r="I152" s="82" t="s">
        <v>294</v>
      </c>
      <c r="J152" s="92"/>
      <c r="K152" s="82" t="s">
        <v>293</v>
      </c>
      <c r="L152" s="93">
        <v>14.5</v>
      </c>
      <c r="M152" s="82" t="s">
        <v>294</v>
      </c>
    </row>
    <row r="153" spans="1:21" ht="13.8" thickBot="1" x14ac:dyDescent="0.3">
      <c r="B153" s="79"/>
      <c r="C153" s="80" t="s">
        <v>545</v>
      </c>
      <c r="D153" s="79"/>
      <c r="E153" s="79"/>
      <c r="F153" s="91">
        <v>3</v>
      </c>
      <c r="G153" s="82" t="s">
        <v>293</v>
      </c>
      <c r="H153" s="90">
        <f>$H$152</f>
        <v>14.5</v>
      </c>
      <c r="I153" s="82" t="s">
        <v>294</v>
      </c>
      <c r="J153" s="92"/>
      <c r="K153" s="82" t="s">
        <v>293</v>
      </c>
      <c r="L153" s="90">
        <f>$L$152</f>
        <v>14.5</v>
      </c>
      <c r="M153" s="82" t="s">
        <v>294</v>
      </c>
    </row>
    <row r="154" spans="1:21" ht="13.8" thickBot="1" x14ac:dyDescent="0.3">
      <c r="B154" s="79"/>
      <c r="C154" s="80" t="s">
        <v>535</v>
      </c>
      <c r="D154" s="79"/>
      <c r="E154" s="79"/>
      <c r="F154" s="91">
        <v>6</v>
      </c>
      <c r="G154" s="82" t="s">
        <v>293</v>
      </c>
      <c r="H154" s="90">
        <f t="shared" ref="H154:H168" si="15">$H$152</f>
        <v>14.5</v>
      </c>
      <c r="I154" s="82" t="s">
        <v>294</v>
      </c>
      <c r="J154" s="92"/>
      <c r="K154" s="82" t="s">
        <v>293</v>
      </c>
      <c r="L154" s="90">
        <f t="shared" ref="L154:L168" si="16">$L$152</f>
        <v>14.5</v>
      </c>
      <c r="M154" s="82" t="s">
        <v>294</v>
      </c>
    </row>
    <row r="155" spans="1:21" ht="13.8" thickBot="1" x14ac:dyDescent="0.3">
      <c r="B155" s="79"/>
      <c r="C155" s="80" t="s">
        <v>298</v>
      </c>
      <c r="D155" s="79"/>
      <c r="E155" s="79"/>
      <c r="F155" s="91">
        <v>5</v>
      </c>
      <c r="G155" s="82" t="s">
        <v>293</v>
      </c>
      <c r="H155" s="90">
        <f t="shared" si="15"/>
        <v>14.5</v>
      </c>
      <c r="I155" s="82" t="s">
        <v>294</v>
      </c>
      <c r="J155" s="92">
        <v>10</v>
      </c>
      <c r="K155" s="82" t="s">
        <v>293</v>
      </c>
      <c r="L155" s="90">
        <f t="shared" si="16"/>
        <v>14.5</v>
      </c>
      <c r="M155" s="82" t="s">
        <v>294</v>
      </c>
      <c r="O155" s="809"/>
    </row>
    <row r="156" spans="1:21" ht="13.8" thickBot="1" x14ac:dyDescent="0.3">
      <c r="B156" s="79"/>
      <c r="C156" s="80" t="s">
        <v>501</v>
      </c>
      <c r="D156" s="79"/>
      <c r="E156" s="79"/>
      <c r="F156" s="91">
        <v>8</v>
      </c>
      <c r="G156" s="82" t="s">
        <v>293</v>
      </c>
      <c r="H156" s="90">
        <f t="shared" si="15"/>
        <v>14.5</v>
      </c>
      <c r="I156" s="82" t="s">
        <v>294</v>
      </c>
      <c r="J156" s="92"/>
      <c r="K156" s="82" t="s">
        <v>293</v>
      </c>
      <c r="L156" s="90">
        <f t="shared" si="16"/>
        <v>14.5</v>
      </c>
      <c r="M156" s="82" t="s">
        <v>294</v>
      </c>
    </row>
    <row r="157" spans="1:21" ht="13.8" thickBot="1" x14ac:dyDescent="0.3">
      <c r="B157" s="79"/>
      <c r="C157" s="80" t="s">
        <v>502</v>
      </c>
      <c r="D157" s="79"/>
      <c r="E157" s="79"/>
      <c r="F157" s="91">
        <v>4</v>
      </c>
      <c r="G157" s="82" t="s">
        <v>293</v>
      </c>
      <c r="H157" s="90">
        <f t="shared" si="15"/>
        <v>14.5</v>
      </c>
      <c r="I157" s="82" t="s">
        <v>294</v>
      </c>
      <c r="J157" s="92"/>
      <c r="K157" s="82" t="s">
        <v>293</v>
      </c>
      <c r="L157" s="90">
        <f t="shared" si="16"/>
        <v>14.5</v>
      </c>
      <c r="M157" s="82" t="s">
        <v>294</v>
      </c>
    </row>
    <row r="158" spans="1:21" s="5" customFormat="1" ht="13.8" thickBot="1" x14ac:dyDescent="0.3">
      <c r="A158" s="209"/>
      <c r="B158" s="79"/>
      <c r="C158" s="80" t="s">
        <v>503</v>
      </c>
      <c r="D158" s="79"/>
      <c r="E158" s="79"/>
      <c r="F158" s="91">
        <v>20</v>
      </c>
      <c r="G158" s="82" t="s">
        <v>293</v>
      </c>
      <c r="H158" s="90">
        <f t="shared" si="15"/>
        <v>14.5</v>
      </c>
      <c r="I158" s="82" t="s">
        <v>294</v>
      </c>
      <c r="J158" s="92"/>
      <c r="K158" s="82" t="s">
        <v>293</v>
      </c>
      <c r="L158" s="90">
        <f t="shared" si="16"/>
        <v>14.5</v>
      </c>
      <c r="M158" s="82" t="s">
        <v>294</v>
      </c>
      <c r="N158"/>
      <c r="P158"/>
      <c r="Q158"/>
      <c r="R158"/>
      <c r="S158"/>
      <c r="T158"/>
      <c r="U158"/>
    </row>
    <row r="159" spans="1:21" ht="13.8" thickBot="1" x14ac:dyDescent="0.3">
      <c r="B159" s="79"/>
      <c r="C159" s="80" t="s">
        <v>504</v>
      </c>
      <c r="D159" s="79"/>
      <c r="E159" s="79"/>
      <c r="F159" s="91">
        <v>4</v>
      </c>
      <c r="G159" s="82" t="s">
        <v>293</v>
      </c>
      <c r="H159" s="90">
        <f t="shared" si="15"/>
        <v>14.5</v>
      </c>
      <c r="I159" s="82" t="s">
        <v>294</v>
      </c>
      <c r="J159" s="92"/>
      <c r="K159" s="82" t="s">
        <v>293</v>
      </c>
      <c r="L159" s="90">
        <f t="shared" si="16"/>
        <v>14.5</v>
      </c>
      <c r="M159" s="82" t="s">
        <v>294</v>
      </c>
    </row>
    <row r="160" spans="1:21" ht="13.8" thickBot="1" x14ac:dyDescent="0.3">
      <c r="B160" s="79"/>
      <c r="C160" s="80" t="s">
        <v>526</v>
      </c>
      <c r="D160" s="79"/>
      <c r="E160" s="79"/>
      <c r="F160" s="91">
        <v>4</v>
      </c>
      <c r="G160" s="82" t="s">
        <v>293</v>
      </c>
      <c r="H160" s="90">
        <f t="shared" si="15"/>
        <v>14.5</v>
      </c>
      <c r="I160" s="82" t="s">
        <v>294</v>
      </c>
      <c r="J160" s="92"/>
      <c r="K160" s="82" t="s">
        <v>293</v>
      </c>
      <c r="L160" s="90">
        <f t="shared" si="16"/>
        <v>14.5</v>
      </c>
      <c r="M160" s="82" t="s">
        <v>294</v>
      </c>
      <c r="N160" s="5"/>
      <c r="P160" s="5"/>
      <c r="Q160" s="5"/>
      <c r="R160" s="5"/>
      <c r="S160" s="5"/>
      <c r="T160" s="5"/>
      <c r="U160" s="5"/>
    </row>
    <row r="161" spans="2:21" ht="13.8" thickBot="1" x14ac:dyDescent="0.3">
      <c r="B161" s="79"/>
      <c r="C161" s="80" t="s">
        <v>303</v>
      </c>
      <c r="D161" s="79"/>
      <c r="E161" s="79"/>
      <c r="F161" s="91">
        <v>8</v>
      </c>
      <c r="G161" s="82" t="s">
        <v>293</v>
      </c>
      <c r="H161" s="90">
        <f t="shared" si="15"/>
        <v>14.5</v>
      </c>
      <c r="I161" s="82" t="s">
        <v>294</v>
      </c>
      <c r="J161" s="92"/>
      <c r="K161" s="82" t="s">
        <v>293</v>
      </c>
      <c r="L161" s="90">
        <f t="shared" si="16"/>
        <v>14.5</v>
      </c>
      <c r="M161" s="82" t="s">
        <v>294</v>
      </c>
      <c r="O161" s="809"/>
    </row>
    <row r="162" spans="2:21" ht="13.8" thickBot="1" x14ac:dyDescent="0.3">
      <c r="B162" s="79"/>
      <c r="C162" s="80" t="s">
        <v>38</v>
      </c>
      <c r="D162" s="79"/>
      <c r="E162" s="79"/>
      <c r="F162" s="91">
        <v>20</v>
      </c>
      <c r="G162" s="82" t="s">
        <v>293</v>
      </c>
      <c r="H162" s="90">
        <f t="shared" si="15"/>
        <v>14.5</v>
      </c>
      <c r="I162" s="82" t="s">
        <v>294</v>
      </c>
      <c r="J162" s="92">
        <v>20</v>
      </c>
      <c r="K162" s="82" t="s">
        <v>293</v>
      </c>
      <c r="L162" s="90">
        <f t="shared" si="16"/>
        <v>14.5</v>
      </c>
      <c r="M162" s="82" t="s">
        <v>294</v>
      </c>
    </row>
    <row r="163" spans="2:21" ht="13.8" thickBot="1" x14ac:dyDescent="0.3">
      <c r="B163" s="79"/>
      <c r="C163" s="80" t="s">
        <v>458</v>
      </c>
      <c r="D163" s="79"/>
      <c r="E163" s="79"/>
      <c r="F163" s="91">
        <v>10</v>
      </c>
      <c r="G163" s="82" t="s">
        <v>293</v>
      </c>
      <c r="H163" s="90">
        <f t="shared" si="15"/>
        <v>14.5</v>
      </c>
      <c r="I163" s="82" t="s">
        <v>294</v>
      </c>
      <c r="J163" s="92"/>
      <c r="K163" s="82" t="s">
        <v>293</v>
      </c>
      <c r="L163" s="90">
        <f t="shared" si="16"/>
        <v>14.5</v>
      </c>
      <c r="M163" s="82" t="s">
        <v>294</v>
      </c>
    </row>
    <row r="164" spans="2:21" ht="13.8" thickBot="1" x14ac:dyDescent="0.3">
      <c r="B164" s="79"/>
      <c r="C164" s="80" t="s">
        <v>306</v>
      </c>
      <c r="D164" s="79"/>
      <c r="E164" s="79"/>
      <c r="F164" s="92">
        <v>40</v>
      </c>
      <c r="G164" s="82" t="s">
        <v>293</v>
      </c>
      <c r="H164" s="90">
        <f t="shared" si="15"/>
        <v>14.5</v>
      </c>
      <c r="I164" s="82" t="s">
        <v>294</v>
      </c>
      <c r="J164" s="92">
        <v>40</v>
      </c>
      <c r="K164" s="82" t="s">
        <v>293</v>
      </c>
      <c r="L164" s="90">
        <f t="shared" si="16"/>
        <v>14.5</v>
      </c>
      <c r="M164" s="82" t="s">
        <v>294</v>
      </c>
    </row>
    <row r="165" spans="2:21" ht="13.8" thickBot="1" x14ac:dyDescent="0.3">
      <c r="B165" s="79"/>
      <c r="C165" s="80" t="s">
        <v>307</v>
      </c>
      <c r="D165" s="79"/>
      <c r="E165" s="79"/>
      <c r="F165" s="92">
        <v>10</v>
      </c>
      <c r="G165" s="82" t="s">
        <v>293</v>
      </c>
      <c r="H165" s="90">
        <f t="shared" si="15"/>
        <v>14.5</v>
      </c>
      <c r="I165" s="82" t="s">
        <v>294</v>
      </c>
      <c r="J165" s="92"/>
      <c r="K165" s="82" t="s">
        <v>293</v>
      </c>
      <c r="L165" s="90">
        <f t="shared" si="16"/>
        <v>14.5</v>
      </c>
      <c r="M165" s="82" t="s">
        <v>294</v>
      </c>
    </row>
    <row r="166" spans="2:21" ht="13.8" thickBot="1" x14ac:dyDescent="0.3">
      <c r="B166" s="79"/>
      <c r="C166" s="80" t="s">
        <v>308</v>
      </c>
      <c r="D166" s="79"/>
      <c r="E166" s="79"/>
      <c r="F166" s="92"/>
      <c r="G166" s="82" t="s">
        <v>293</v>
      </c>
      <c r="H166" s="90">
        <f t="shared" si="15"/>
        <v>14.5</v>
      </c>
      <c r="I166" s="82" t="s">
        <v>294</v>
      </c>
      <c r="J166" s="75"/>
      <c r="K166" s="82" t="s">
        <v>293</v>
      </c>
      <c r="L166" s="90">
        <f t="shared" si="16"/>
        <v>14.5</v>
      </c>
      <c r="M166" s="82" t="s">
        <v>294</v>
      </c>
    </row>
    <row r="167" spans="2:21" ht="13.8" thickBot="1" x14ac:dyDescent="0.3">
      <c r="B167" s="79"/>
      <c r="C167" s="80" t="s">
        <v>308</v>
      </c>
      <c r="D167" s="79"/>
      <c r="E167" s="79"/>
      <c r="F167" s="92"/>
      <c r="G167" s="82" t="s">
        <v>293</v>
      </c>
      <c r="H167" s="90">
        <f t="shared" si="15"/>
        <v>14.5</v>
      </c>
      <c r="I167" s="82" t="s">
        <v>294</v>
      </c>
      <c r="J167" s="75"/>
      <c r="K167" s="82" t="s">
        <v>293</v>
      </c>
      <c r="L167" s="90">
        <f t="shared" si="16"/>
        <v>14.5</v>
      </c>
      <c r="M167" s="82" t="s">
        <v>294</v>
      </c>
    </row>
    <row r="168" spans="2:21" ht="13.8" thickBot="1" x14ac:dyDescent="0.3">
      <c r="B168" s="79"/>
      <c r="C168" s="80" t="s">
        <v>308</v>
      </c>
      <c r="D168" s="81"/>
      <c r="E168" s="81"/>
      <c r="F168" s="75"/>
      <c r="G168" s="82" t="s">
        <v>293</v>
      </c>
      <c r="H168" s="90">
        <f t="shared" si="15"/>
        <v>14.5</v>
      </c>
      <c r="I168" s="82" t="s">
        <v>294</v>
      </c>
      <c r="J168" s="75"/>
      <c r="K168" s="82" t="s">
        <v>293</v>
      </c>
      <c r="L168" s="90">
        <f t="shared" si="16"/>
        <v>14.5</v>
      </c>
      <c r="M168" s="82" t="s">
        <v>294</v>
      </c>
    </row>
    <row r="169" spans="2:21" x14ac:dyDescent="0.25">
      <c r="B169" s="209"/>
      <c r="C169" s="210" t="s">
        <v>54</v>
      </c>
      <c r="D169" s="211"/>
      <c r="E169" s="211"/>
      <c r="F169" s="212">
        <f>SUM(F152:F168)</f>
        <v>144</v>
      </c>
      <c r="G169" s="209" t="s">
        <v>293</v>
      </c>
      <c r="H169" s="213">
        <f>F169*H152</f>
        <v>2088</v>
      </c>
      <c r="I169" s="209" t="s">
        <v>57</v>
      </c>
      <c r="J169" s="212">
        <f>SUM(J152:J168)</f>
        <v>70</v>
      </c>
      <c r="K169" s="209" t="s">
        <v>293</v>
      </c>
      <c r="L169" s="213">
        <f>J169*L152</f>
        <v>1015</v>
      </c>
      <c r="M169" s="209" t="s">
        <v>57</v>
      </c>
    </row>
    <row r="171" spans="2:21" ht="40.200000000000003" customHeight="1" x14ac:dyDescent="0.25">
      <c r="N171" s="5"/>
      <c r="O171" s="5"/>
      <c r="P171" s="5"/>
      <c r="Q171" s="5"/>
      <c r="R171" s="5"/>
      <c r="S171" s="5"/>
      <c r="T171" s="5"/>
      <c r="U171" s="5"/>
    </row>
    <row r="174" spans="2:21" ht="37.950000000000003" customHeight="1" x14ac:dyDescent="0.25"/>
    <row r="186" spans="1:21" s="5" customFormat="1" x14ac:dyDescent="0.25">
      <c r="A186" s="209"/>
      <c r="B186"/>
      <c r="C186"/>
      <c r="D186"/>
      <c r="E186"/>
      <c r="F186"/>
      <c r="G186"/>
      <c r="H186"/>
      <c r="I186"/>
      <c r="J186"/>
      <c r="K186"/>
      <c r="L186"/>
      <c r="M186"/>
      <c r="N186"/>
      <c r="O186"/>
      <c r="P186"/>
      <c r="Q186"/>
      <c r="R186"/>
      <c r="S186"/>
      <c r="T186"/>
      <c r="U186"/>
    </row>
    <row r="188" spans="1:21" x14ac:dyDescent="0.25">
      <c r="N188" s="5"/>
      <c r="O188" s="5"/>
      <c r="P188" s="5"/>
      <c r="Q188" s="5"/>
      <c r="R188" s="5"/>
      <c r="S188" s="5"/>
      <c r="T188" s="5"/>
      <c r="U188" s="5"/>
    </row>
  </sheetData>
  <mergeCells count="45">
    <mergeCell ref="L150:M150"/>
    <mergeCell ref="B148:M149"/>
    <mergeCell ref="F105:G105"/>
    <mergeCell ref="H105:I105"/>
    <mergeCell ref="J105:K105"/>
    <mergeCell ref="F118:G118"/>
    <mergeCell ref="H118:I118"/>
    <mergeCell ref="J118:K118"/>
    <mergeCell ref="F126:G126"/>
    <mergeCell ref="H126:I126"/>
    <mergeCell ref="J126:K126"/>
    <mergeCell ref="E150:G150"/>
    <mergeCell ref="H150:I150"/>
    <mergeCell ref="J150:K150"/>
    <mergeCell ref="L69:M69"/>
    <mergeCell ref="F76:G76"/>
    <mergeCell ref="H76:I76"/>
    <mergeCell ref="J76:K76"/>
    <mergeCell ref="F86:G86"/>
    <mergeCell ref="H86:I86"/>
    <mergeCell ref="J86:K86"/>
    <mergeCell ref="F71:G71"/>
    <mergeCell ref="H71:I71"/>
    <mergeCell ref="J71:K71"/>
    <mergeCell ref="B57:D57"/>
    <mergeCell ref="B64:D64"/>
    <mergeCell ref="B66:D66"/>
    <mergeCell ref="B69:E69"/>
    <mergeCell ref="B38:D38"/>
    <mergeCell ref="C41:D41"/>
    <mergeCell ref="B45:D45"/>
    <mergeCell ref="C48:D48"/>
    <mergeCell ref="B52:C52"/>
    <mergeCell ref="C55:D55"/>
    <mergeCell ref="B2:C2"/>
    <mergeCell ref="B4:L4"/>
    <mergeCell ref="O9:Q9"/>
    <mergeCell ref="T9:U9"/>
    <mergeCell ref="B11:D11"/>
    <mergeCell ref="C34:D34"/>
    <mergeCell ref="O18:Q18"/>
    <mergeCell ref="B26:E26"/>
    <mergeCell ref="B27:E27"/>
    <mergeCell ref="B28:D28"/>
    <mergeCell ref="B31:C31"/>
  </mergeCells>
  <hyperlinks>
    <hyperlink ref="B2" location="Tilakokonaisuus!A1" display="PALAA ETUSIVULLE" xr:uid="{2298D08D-9AA6-B445-A33A-3B92836ABCB1}"/>
    <hyperlink ref="B2:C2" location="'Gårdens info'!A1" display="TILL FRAMSIDAN" xr:uid="{378D1BAE-3347-5143-809F-59D5C0ADDA4A}"/>
    <hyperlink ref="B26:E26" location="'Gårdens info'!C97" display="ALMÄNNA KOSTNADER, grönsakens andel" xr:uid="{27E66F06-52BF-1B4E-8839-B6B8DC751E63}"/>
    <hyperlink ref="B31:C31" location="Omaisuus!B15" display="RAKENNUKSET" xr:uid="{E51F0CBC-EFAC-F44F-87F3-834E246DF130}"/>
    <hyperlink ref="B38:D38" location="Omaisuus!B28" display="KONEET JA KALUSTO" xr:uid="{CDB54730-42E5-A64E-A5D9-8969B379C854}"/>
    <hyperlink ref="B45:D45" location="Omaisuus!B51" display="PIDEMPIAIKAISET TUOTANTOVÄLINEET" xr:uid="{AAEC78F0-25F5-FB4D-B580-73998F060745}"/>
    <hyperlink ref="B52:C52" location="Omaisuus!B70" display="SALAOJAT" xr:uid="{CD7AE962-F38D-E14D-AF36-5EC6248ED645}"/>
    <hyperlink ref="L69" location="'Avomaan mansikka'!B2" display="PALAA SIVUN YLÄLAITAAN" xr:uid="{DCAB0607-1C24-C34B-B09E-B99F9624A271}"/>
    <hyperlink ref="L69:M69" location="'Grönsak planterad 1'!A1" display="TILL SIDANS BÖRJAN" xr:uid="{21285D6F-C63A-0041-AE2F-ED1F5EA0E88D}"/>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593D4-C352-2542-9BB9-8B7BDCD6763F}">
  <sheetPr>
    <tabColor theme="7" tint="0.59999389629810485"/>
  </sheetPr>
  <dimension ref="A1:AC188"/>
  <sheetViews>
    <sheetView zoomScale="55" zoomScaleNormal="55" workbookViewId="0">
      <selection activeCell="B5" sqref="B5"/>
    </sheetView>
  </sheetViews>
  <sheetFormatPr defaultColWidth="11.44140625" defaultRowHeight="13.2" x14ac:dyDescent="0.25"/>
  <cols>
    <col min="1" max="1" width="5.33203125" style="477"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8.6640625" customWidth="1"/>
    <col min="16" max="16" width="4.44140625" customWidth="1"/>
    <col min="17" max="17" width="15" customWidth="1"/>
    <col min="18" max="18" width="5.109375" customWidth="1"/>
    <col min="19" max="19" width="18.33203125" bestFit="1" customWidth="1"/>
  </cols>
  <sheetData>
    <row r="1" spans="1:21" s="477" customFormat="1" ht="22.8" x14ac:dyDescent="0.4">
      <c r="B1" s="484" t="s">
        <v>25</v>
      </c>
    </row>
    <row r="2" spans="1:21" ht="27" customHeight="1" x14ac:dyDescent="0.3">
      <c r="B2" s="1094" t="s">
        <v>201</v>
      </c>
      <c r="C2" s="1094"/>
      <c r="F2" s="69"/>
      <c r="G2" s="69"/>
      <c r="H2" s="69"/>
    </row>
    <row r="3" spans="1:21" ht="27" customHeight="1" x14ac:dyDescent="0.3">
      <c r="B3" s="189"/>
      <c r="C3" s="189"/>
    </row>
    <row r="4" spans="1:21" ht="36" customHeight="1" x14ac:dyDescent="0.3">
      <c r="B4" s="1109" t="s">
        <v>375</v>
      </c>
      <c r="C4" s="1109"/>
      <c r="D4" s="1109"/>
      <c r="E4" s="1109"/>
      <c r="F4" s="1109"/>
      <c r="G4" s="1109"/>
      <c r="H4" s="1109"/>
      <c r="I4" s="1109"/>
      <c r="J4" s="1109"/>
      <c r="K4" s="1109"/>
      <c r="L4" s="1109"/>
    </row>
    <row r="5" spans="1:21" ht="27" customHeight="1" thickBot="1" x14ac:dyDescent="0.35">
      <c r="B5" s="189"/>
      <c r="C5" s="189"/>
    </row>
    <row r="6" spans="1:21" ht="27" customHeight="1" x14ac:dyDescent="0.4">
      <c r="B6" s="256" t="s">
        <v>546</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H9*'Gårdens info'!G20</f>
        <v>0</v>
      </c>
      <c r="G9" s="119" t="s">
        <v>57</v>
      </c>
      <c r="H9" s="508">
        <f>IF('Gårdens info'!G20&gt;0,(('Gårdens info'!D20*'Gårdens info'!G20*S10*T10)+('Gårdens info'!D20*'Gårdens info'!G20*S11*T11)+('Gårdens info'!D20*'Gårdens info'!G20*S12*T12)+('Gårdens info'!D20*'Gårdens info'!G20*S13*T13)+('Gårdens info'!D20*'Gårdens info'!G20*S14*T14)+('Gårdens info'!D20*'Gårdens info'!G20*S15*T15)+('Gårdens info'!D20*'Gårdens info'!G20*S16*T16)+('Gårdens info'!D20*'Gårdens info'!G20*S17*T17))/(('Gårdens info'!D20*'Gårdens info'!G20)),0)</f>
        <v>0</v>
      </c>
      <c r="I9" s="119" t="s">
        <v>206</v>
      </c>
      <c r="J9" s="229">
        <f>F9*'Gårdens info'!D20</f>
        <v>0</v>
      </c>
      <c r="K9" s="119" t="s">
        <v>529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info'!D20&gt;0,Stöd!L15,0)</f>
        <v>0</v>
      </c>
      <c r="G10" s="119" t="s">
        <v>57</v>
      </c>
      <c r="H10" s="508">
        <f>IF('Gårdens info'!G20&gt;0,F10/'Gårdens info'!G20,0)</f>
        <v>0</v>
      </c>
      <c r="I10" s="119" t="s">
        <v>206</v>
      </c>
      <c r="J10" s="229">
        <f>F10*'Gårdens info'!D20</f>
        <v>0</v>
      </c>
      <c r="K10" s="119" t="s">
        <v>529</v>
      </c>
      <c r="L10" s="119"/>
      <c r="M10" s="226"/>
      <c r="N10" s="369"/>
      <c r="O10" s="119">
        <v>1</v>
      </c>
      <c r="P10" s="119" t="s">
        <v>212</v>
      </c>
      <c r="Q10" s="119" t="s">
        <v>213</v>
      </c>
      <c r="R10" s="119"/>
      <c r="S10" s="377">
        <v>0</v>
      </c>
      <c r="T10" s="255"/>
      <c r="U10" s="239" t="s">
        <v>206</v>
      </c>
    </row>
    <row r="11" spans="1:21" s="5" customFormat="1" ht="21.6" customHeight="1" thickBot="1" x14ac:dyDescent="0.45">
      <c r="A11" s="478"/>
      <c r="B11" s="1061" t="s">
        <v>214</v>
      </c>
      <c r="C11" s="1043"/>
      <c r="D11" s="1043"/>
      <c r="E11" s="262"/>
      <c r="F11" s="266">
        <f>F9+F10</f>
        <v>0</v>
      </c>
      <c r="G11" s="267" t="s">
        <v>57</v>
      </c>
      <c r="H11" s="507">
        <f>H9+H10</f>
        <v>0</v>
      </c>
      <c r="I11" s="267" t="s">
        <v>206</v>
      </c>
      <c r="J11" s="269">
        <f>J9+J10</f>
        <v>0</v>
      </c>
      <c r="K11" s="267" t="s">
        <v>529</v>
      </c>
      <c r="L11" s="267"/>
      <c r="M11" s="259"/>
      <c r="N11" s="370"/>
      <c r="O11" s="119">
        <v>0.25</v>
      </c>
      <c r="P11" s="119" t="s">
        <v>212</v>
      </c>
      <c r="Q11" s="119" t="s">
        <v>333</v>
      </c>
      <c r="R11" s="119"/>
      <c r="S11" s="379">
        <v>0</v>
      </c>
      <c r="T11" s="255"/>
      <c r="U11" s="239" t="s">
        <v>206</v>
      </c>
    </row>
    <row r="12" spans="1:21" s="5" customFormat="1" ht="21.6" thickBot="1" x14ac:dyDescent="0.45">
      <c r="A12" s="478"/>
      <c r="B12" s="288"/>
      <c r="C12" s="270"/>
      <c r="D12" s="270"/>
      <c r="E12" s="262"/>
      <c r="F12" s="266"/>
      <c r="G12" s="267"/>
      <c r="H12" s="268"/>
      <c r="I12" s="267"/>
      <c r="J12" s="269"/>
      <c r="K12" s="267"/>
      <c r="L12" s="267"/>
      <c r="M12" s="259"/>
      <c r="N12" s="370"/>
      <c r="O12" s="119">
        <v>0.5</v>
      </c>
      <c r="P12" s="119" t="s">
        <v>212</v>
      </c>
      <c r="Q12" s="119" t="s">
        <v>213</v>
      </c>
      <c r="R12" s="119"/>
      <c r="S12" s="379">
        <v>0</v>
      </c>
      <c r="T12" s="255"/>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1</v>
      </c>
      <c r="T13" s="255">
        <v>0.76</v>
      </c>
      <c r="U13" s="239" t="s">
        <v>206</v>
      </c>
    </row>
    <row r="14" spans="1:21" ht="21.6" thickBot="1" x14ac:dyDescent="0.45">
      <c r="B14" s="257" t="s">
        <v>186</v>
      </c>
      <c r="C14" s="225"/>
      <c r="D14" s="116"/>
      <c r="E14" s="116"/>
      <c r="F14" s="116"/>
      <c r="G14" s="116"/>
      <c r="H14" s="116"/>
      <c r="I14" s="116"/>
      <c r="J14" s="232"/>
      <c r="K14" s="116"/>
      <c r="L14" s="116"/>
      <c r="M14" s="226"/>
      <c r="N14" s="369"/>
      <c r="O14" s="651">
        <f>D111</f>
        <v>0</v>
      </c>
      <c r="P14" s="119" t="s">
        <v>212</v>
      </c>
      <c r="Q14" s="298" t="s">
        <v>511</v>
      </c>
      <c r="R14" s="119"/>
      <c r="S14" s="379">
        <v>0</v>
      </c>
      <c r="T14" s="255"/>
      <c r="U14" s="239" t="s">
        <v>206</v>
      </c>
    </row>
    <row r="15" spans="1:21" s="56" customFormat="1" ht="16.95" customHeight="1" thickBot="1" x14ac:dyDescent="0.35">
      <c r="A15" s="480"/>
      <c r="B15" s="235"/>
      <c r="C15" s="245"/>
      <c r="D15" s="249"/>
      <c r="E15" s="249"/>
      <c r="F15" s="250"/>
      <c r="G15" s="120"/>
      <c r="H15" s="249"/>
      <c r="I15" s="249"/>
      <c r="J15" s="249"/>
      <c r="K15" s="249"/>
      <c r="L15" s="249"/>
      <c r="M15" s="234"/>
      <c r="N15" s="369"/>
      <c r="O15" s="651">
        <f t="shared" ref="O15:O17" si="0">D112</f>
        <v>0</v>
      </c>
      <c r="P15" s="119" t="s">
        <v>212</v>
      </c>
      <c r="Q15" s="298" t="s">
        <v>511</v>
      </c>
      <c r="R15" s="119"/>
      <c r="S15" s="379">
        <v>0</v>
      </c>
      <c r="T15" s="255"/>
      <c r="U15" s="239" t="s">
        <v>206</v>
      </c>
    </row>
    <row r="16" spans="1:21" s="69" customFormat="1" ht="16.95" customHeight="1" thickBot="1" x14ac:dyDescent="0.3">
      <c r="A16" s="480"/>
      <c r="B16" s="235"/>
      <c r="C16" s="228" t="s">
        <v>382</v>
      </c>
      <c r="D16" s="236"/>
      <c r="E16" s="236"/>
      <c r="F16" s="247">
        <f>IF('Gårdens info'!D20&gt;0,J73,0)</f>
        <v>0</v>
      </c>
      <c r="G16" s="119" t="s">
        <v>57</v>
      </c>
      <c r="H16" s="503">
        <f>IF('Gårdens info'!$G$20&gt;0,F16/'Gårdens info'!$G$20,)</f>
        <v>0</v>
      </c>
      <c r="I16" s="119" t="s">
        <v>206</v>
      </c>
      <c r="J16" s="237">
        <f>F16*'Gårdens info'!$D$20</f>
        <v>0</v>
      </c>
      <c r="K16" s="119" t="s">
        <v>529</v>
      </c>
      <c r="L16" s="236"/>
      <c r="M16" s="239"/>
      <c r="N16" s="227"/>
      <c r="O16" s="651">
        <f t="shared" si="0"/>
        <v>0</v>
      </c>
      <c r="P16" s="119" t="s">
        <v>212</v>
      </c>
      <c r="Q16" s="298" t="s">
        <v>511</v>
      </c>
      <c r="R16" s="119"/>
      <c r="S16" s="379">
        <v>0</v>
      </c>
      <c r="T16" s="255"/>
      <c r="U16" s="239" t="s">
        <v>206</v>
      </c>
    </row>
    <row r="17" spans="1:29" s="69" customFormat="1" ht="15.6" thickBot="1" x14ac:dyDescent="0.3">
      <c r="A17" s="480"/>
      <c r="B17" s="235"/>
      <c r="C17" s="228" t="s">
        <v>219</v>
      </c>
      <c r="D17" s="236"/>
      <c r="E17" s="236"/>
      <c r="F17" s="237">
        <f>IF('Gårdens info'!D20&gt;0,J83,0)</f>
        <v>0</v>
      </c>
      <c r="G17" s="119" t="s">
        <v>57</v>
      </c>
      <c r="H17" s="503">
        <f>IF('Gårdens info'!$G$20&gt;0,F17/'Gårdens info'!$G$20,)</f>
        <v>0</v>
      </c>
      <c r="I17" s="119" t="s">
        <v>206</v>
      </c>
      <c r="J17" s="237">
        <f>F17*'Gårdens info'!$D$20</f>
        <v>0</v>
      </c>
      <c r="K17" s="119" t="s">
        <v>529</v>
      </c>
      <c r="L17" s="236"/>
      <c r="M17" s="239"/>
      <c r="N17" s="369"/>
      <c r="O17" s="651">
        <f t="shared" si="0"/>
        <v>0</v>
      </c>
      <c r="P17" s="119" t="s">
        <v>212</v>
      </c>
      <c r="Q17" s="298" t="s">
        <v>511</v>
      </c>
      <c r="R17" s="119"/>
      <c r="S17" s="378">
        <v>0</v>
      </c>
      <c r="T17" s="255"/>
      <c r="U17" s="239" t="s">
        <v>206</v>
      </c>
    </row>
    <row r="18" spans="1:29" s="69" customFormat="1" ht="17.399999999999999" x14ac:dyDescent="0.3">
      <c r="A18" s="480"/>
      <c r="B18" s="235"/>
      <c r="C18" s="228" t="s">
        <v>220</v>
      </c>
      <c r="D18" s="236"/>
      <c r="E18" s="236"/>
      <c r="F18" s="237">
        <f>IF('Gårdens info'!D20&gt;0,J102,0)</f>
        <v>0</v>
      </c>
      <c r="G18" s="119" t="s">
        <v>57</v>
      </c>
      <c r="H18" s="503">
        <f>IF('Gårdens info'!$G$20&gt;0,F18/'Gårdens info'!$G$20,)</f>
        <v>0</v>
      </c>
      <c r="I18" s="119" t="s">
        <v>206</v>
      </c>
      <c r="J18" s="237">
        <f>F18*'Gårdens info'!$D$20</f>
        <v>0</v>
      </c>
      <c r="K18" s="119" t="s">
        <v>529</v>
      </c>
      <c r="L18" s="236"/>
      <c r="M18" s="239"/>
      <c r="N18" s="371"/>
      <c r="O18" s="1088" t="s">
        <v>54</v>
      </c>
      <c r="P18" s="1088"/>
      <c r="Q18" s="1088"/>
      <c r="R18" s="120"/>
      <c r="S18" s="375">
        <f>SUM(S10:S17)</f>
        <v>1</v>
      </c>
      <c r="T18" s="120"/>
      <c r="U18" s="234"/>
    </row>
    <row r="19" spans="1:29" s="69" customFormat="1" ht="15.6" x14ac:dyDescent="0.3">
      <c r="A19" s="480"/>
      <c r="B19" s="235"/>
      <c r="C19" s="228" t="s">
        <v>221</v>
      </c>
      <c r="D19" s="236"/>
      <c r="E19" s="236"/>
      <c r="F19" s="237">
        <f>IF('Gårdens info'!D20&gt;0,J115,0)</f>
        <v>0</v>
      </c>
      <c r="G19" s="119" t="s">
        <v>57</v>
      </c>
      <c r="H19" s="503">
        <f>IF('Gårdens info'!$G$20&gt;0,F19/'Gårdens info'!$G$20,)</f>
        <v>0</v>
      </c>
      <c r="I19" s="119" t="s">
        <v>206</v>
      </c>
      <c r="J19" s="237">
        <f>F19*'Gårdens info'!$D$20</f>
        <v>0</v>
      </c>
      <c r="K19" s="119" t="s">
        <v>529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480"/>
      <c r="B20" s="235"/>
      <c r="C20" s="228" t="s">
        <v>222</v>
      </c>
      <c r="D20" s="236"/>
      <c r="E20" s="236"/>
      <c r="F20" s="237">
        <f>IF('Gårdens info'!D20&gt;0,J123,0)</f>
        <v>0</v>
      </c>
      <c r="G20" s="119" t="s">
        <v>57</v>
      </c>
      <c r="H20" s="503">
        <f>IF('Gårdens info'!$G$20&gt;0,F20/'Gårdens info'!$G$20,)</f>
        <v>0</v>
      </c>
      <c r="I20" s="119" t="s">
        <v>206</v>
      </c>
      <c r="J20" s="237">
        <f>F20*'Gårdens info'!$D$20</f>
        <v>0</v>
      </c>
      <c r="K20" s="119" t="s">
        <v>529</v>
      </c>
      <c r="L20" s="236"/>
      <c r="M20" s="239"/>
      <c r="N20" s="372"/>
      <c r="O20" s="373"/>
      <c r="P20" s="373"/>
      <c r="Q20" s="373"/>
      <c r="R20" s="373"/>
      <c r="S20" s="373"/>
      <c r="T20" s="373"/>
      <c r="U20" s="374"/>
    </row>
    <row r="21" spans="1:29" s="69" customFormat="1" ht="15" x14ac:dyDescent="0.25">
      <c r="A21" s="480"/>
      <c r="B21" s="235"/>
      <c r="C21" s="228" t="s">
        <v>223</v>
      </c>
      <c r="D21" s="236"/>
      <c r="E21" s="236"/>
      <c r="F21" s="237">
        <f>IF('Gårdens info'!D20&gt;0,J131,0)</f>
        <v>0</v>
      </c>
      <c r="G21" s="119" t="s">
        <v>57</v>
      </c>
      <c r="H21" s="503">
        <f>IF('Gårdens info'!$G$20&gt;0,F21/'Gårdens info'!$G$20,)</f>
        <v>0</v>
      </c>
      <c r="I21" s="119" t="s">
        <v>206</v>
      </c>
      <c r="J21" s="237">
        <f>F21*'Gårdens info'!$D$20</f>
        <v>0</v>
      </c>
      <c r="K21" s="119" t="s">
        <v>529</v>
      </c>
      <c r="L21" s="236"/>
      <c r="M21" s="239"/>
    </row>
    <row r="22" spans="1:29" s="69" customFormat="1" ht="15" x14ac:dyDescent="0.25">
      <c r="A22" s="480"/>
      <c r="B22" s="235"/>
      <c r="C22" s="228" t="s">
        <v>224</v>
      </c>
      <c r="D22" s="236"/>
      <c r="E22" s="236"/>
      <c r="F22" s="237">
        <f>IF('Gårdens info'!D20&gt;0,J143,0)</f>
        <v>0</v>
      </c>
      <c r="G22" s="119" t="s">
        <v>57</v>
      </c>
      <c r="H22" s="503">
        <f>IF('Gårdens info'!$G$20&gt;0,F22/'Gårdens info'!$G$20,)</f>
        <v>0</v>
      </c>
      <c r="I22" s="119" t="s">
        <v>206</v>
      </c>
      <c r="J22" s="237">
        <f>F22*'Gårdens info'!$D$20</f>
        <v>0</v>
      </c>
      <c r="K22" s="119" t="s">
        <v>529</v>
      </c>
      <c r="L22" s="236"/>
      <c r="M22" s="239"/>
    </row>
    <row r="23" spans="1:29" s="69" customFormat="1" ht="15" x14ac:dyDescent="0.25">
      <c r="A23" s="480"/>
      <c r="B23" s="235"/>
      <c r="C23" s="228" t="s">
        <v>225</v>
      </c>
      <c r="D23" s="236"/>
      <c r="E23" s="236"/>
      <c r="F23" s="237">
        <f>IF('Gårdens info'!D20&gt;0,L169,0)</f>
        <v>0</v>
      </c>
      <c r="G23" s="119" t="s">
        <v>57</v>
      </c>
      <c r="H23" s="503">
        <f>IF('Gårdens info'!$G$20&gt;0,F23/'Gårdens info'!$G$20,)</f>
        <v>0</v>
      </c>
      <c r="I23" s="119" t="s">
        <v>206</v>
      </c>
      <c r="J23" s="237">
        <f>F23*'Gårdens info'!$D$20</f>
        <v>0</v>
      </c>
      <c r="K23" s="119" t="s">
        <v>529</v>
      </c>
      <c r="L23" s="236"/>
      <c r="M23" s="239"/>
    </row>
    <row r="24" spans="1:29" ht="15.6" x14ac:dyDescent="0.3">
      <c r="B24" s="251"/>
      <c r="C24" s="240" t="s">
        <v>54</v>
      </c>
      <c r="D24" s="241"/>
      <c r="E24" s="241"/>
      <c r="F24" s="242">
        <f>SUM(F16:F23)</f>
        <v>0</v>
      </c>
      <c r="G24" s="243" t="s">
        <v>57</v>
      </c>
      <c r="H24" s="504">
        <f>SUM(H16:H23)</f>
        <v>0</v>
      </c>
      <c r="I24" s="243" t="s">
        <v>206</v>
      </c>
      <c r="J24" s="242">
        <f>SUM(J16:J23)</f>
        <v>0</v>
      </c>
      <c r="K24" s="243" t="s">
        <v>529</v>
      </c>
      <c r="L24" s="241"/>
      <c r="M24" s="252"/>
      <c r="N24" s="69"/>
      <c r="O24" s="69"/>
      <c r="P24" s="69"/>
      <c r="Q24" s="69"/>
      <c r="R24" s="69"/>
      <c r="S24" s="69"/>
      <c r="T24" s="69"/>
      <c r="U24" s="69"/>
    </row>
    <row r="25" spans="1:29" s="56" customFormat="1" ht="17.399999999999999" x14ac:dyDescent="0.3">
      <c r="A25" s="479"/>
      <c r="B25" s="231"/>
      <c r="C25" s="245"/>
      <c r="D25" s="246"/>
      <c r="E25" s="246"/>
      <c r="F25" s="247"/>
      <c r="G25" s="119"/>
      <c r="H25" s="505"/>
      <c r="I25" s="246"/>
      <c r="J25" s="246"/>
      <c r="K25" s="246"/>
      <c r="L25" s="246"/>
      <c r="M25" s="226"/>
      <c r="N25" s="69"/>
      <c r="O25" s="69"/>
      <c r="P25" s="69"/>
      <c r="R25" s="69"/>
      <c r="S25" s="69"/>
      <c r="T25" s="69"/>
      <c r="U25" s="69"/>
      <c r="AB25" s="449" t="s">
        <v>385</v>
      </c>
      <c r="AC25" s="561">
        <f>F16</f>
        <v>0</v>
      </c>
    </row>
    <row r="26" spans="1:29" s="69" customFormat="1" ht="17.399999999999999" x14ac:dyDescent="0.3">
      <c r="A26" s="480"/>
      <c r="B26" s="1089" t="s">
        <v>530</v>
      </c>
      <c r="C26" s="1090"/>
      <c r="D26" s="1090"/>
      <c r="E26" s="1090"/>
      <c r="F26" s="263">
        <f>IF('Gårdens info'!D20&gt;0,J26/'Gårdens info'!D20,0)</f>
        <v>0</v>
      </c>
      <c r="G26" s="243" t="s">
        <v>57</v>
      </c>
      <c r="H26" s="506">
        <f>IF('Gårdens info'!G20&gt;0,F26/'Gårdens info'!G20,0)</f>
        <v>0</v>
      </c>
      <c r="I26" s="243" t="s">
        <v>206</v>
      </c>
      <c r="J26" s="258">
        <f>'Gårdens info'!G163/'Gårdens info'!D43*'Gårdens info'!D20</f>
        <v>0</v>
      </c>
      <c r="K26" s="243" t="s">
        <v>529</v>
      </c>
      <c r="L26" s="265"/>
      <c r="M26" s="259"/>
      <c r="N26"/>
      <c r="O26"/>
      <c r="P26"/>
      <c r="S26"/>
      <c r="T26"/>
      <c r="U26"/>
      <c r="AB26" s="382" t="str">
        <f t="shared" ref="AB26:AB32" si="1">C17</f>
        <v>Gödsel och kalk</v>
      </c>
      <c r="AC26" s="561">
        <f t="shared" ref="AC26:AC32" si="2">F17</f>
        <v>0</v>
      </c>
    </row>
    <row r="27" spans="1:29" s="69" customFormat="1" ht="17.399999999999999" x14ac:dyDescent="0.3">
      <c r="A27" s="480"/>
      <c r="B27" s="1091" t="s">
        <v>531</v>
      </c>
      <c r="C27" s="1092"/>
      <c r="D27" s="1092"/>
      <c r="E27" s="1092"/>
      <c r="F27" s="263">
        <f>IF('Gårdens info'!D20&gt;0,J27/'Gårdens info'!D20,0)</f>
        <v>0</v>
      </c>
      <c r="G27" s="243" t="s">
        <v>57</v>
      </c>
      <c r="H27" s="506">
        <f>IF('Gårdens info'!G20&gt;0,F27/'Gårdens info'!G20,0)</f>
        <v>0</v>
      </c>
      <c r="I27" s="243" t="s">
        <v>206</v>
      </c>
      <c r="J27" s="258">
        <f>'Gårdens info'!$D$48/'Gårdens info'!$D$49*'Gårdens info'!$G$48*'Gårdens info'!D20</f>
        <v>0</v>
      </c>
      <c r="K27" s="243" t="s">
        <v>529</v>
      </c>
      <c r="L27" s="265"/>
      <c r="M27" s="259"/>
      <c r="N27" s="56"/>
      <c r="O27" s="56"/>
      <c r="P27" s="56"/>
      <c r="S27" s="56"/>
      <c r="T27" s="56"/>
      <c r="U27" s="56"/>
      <c r="AB27" s="382" t="str">
        <f t="shared" si="1"/>
        <v>IPM Växtskydd</v>
      </c>
      <c r="AC27" s="561">
        <f t="shared" si="2"/>
        <v>0</v>
      </c>
    </row>
    <row r="28" spans="1:29" s="69" customFormat="1" ht="21" customHeight="1" x14ac:dyDescent="0.4">
      <c r="A28" s="480"/>
      <c r="B28" s="1061" t="s">
        <v>189</v>
      </c>
      <c r="C28" s="1043"/>
      <c r="D28" s="1043"/>
      <c r="E28" s="262"/>
      <c r="F28" s="266">
        <f>F24+F26+F27</f>
        <v>0</v>
      </c>
      <c r="G28" s="267" t="s">
        <v>57</v>
      </c>
      <c r="H28" s="507">
        <f>H24+H26+H27</f>
        <v>0</v>
      </c>
      <c r="I28" s="267" t="s">
        <v>206</v>
      </c>
      <c r="J28" s="269">
        <f>J24+J26+J27</f>
        <v>0</v>
      </c>
      <c r="K28" s="267" t="s">
        <v>529</v>
      </c>
      <c r="L28" s="267"/>
      <c r="M28" s="259"/>
      <c r="AB28" s="382" t="str">
        <f t="shared" si="1"/>
        <v>Packningsmaterial</v>
      </c>
      <c r="AC28" s="561">
        <f t="shared" si="2"/>
        <v>0</v>
      </c>
    </row>
    <row r="29" spans="1:29" s="69" customFormat="1" ht="21" x14ac:dyDescent="0.4">
      <c r="A29" s="480"/>
      <c r="B29" s="288"/>
      <c r="C29" s="270"/>
      <c r="D29" s="270"/>
      <c r="E29" s="262"/>
      <c r="F29" s="266"/>
      <c r="G29" s="267"/>
      <c r="H29" s="268"/>
      <c r="I29" s="267"/>
      <c r="J29" s="269"/>
      <c r="K29" s="267"/>
      <c r="L29" s="267"/>
      <c r="M29" s="259"/>
      <c r="AB29" s="382" t="str">
        <f t="shared" si="1"/>
        <v>Fraktkostnader</v>
      </c>
      <c r="AC29" s="561">
        <f t="shared" si="2"/>
        <v>0</v>
      </c>
    </row>
    <row r="30" spans="1:29" s="69" customFormat="1" ht="21" x14ac:dyDescent="0.4">
      <c r="A30" s="480"/>
      <c r="B30" s="257" t="s">
        <v>532</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480"/>
      <c r="B31" s="1081" t="s">
        <v>69</v>
      </c>
      <c r="C31" s="1082"/>
      <c r="D31" s="270"/>
      <c r="E31" s="262"/>
      <c r="F31" s="266"/>
      <c r="G31" s="267"/>
      <c r="H31" s="268"/>
      <c r="I31" s="267"/>
      <c r="J31" s="269"/>
      <c r="K31" s="267"/>
      <c r="L31" s="267"/>
      <c r="M31" s="259"/>
      <c r="AB31" s="382" t="str">
        <f t="shared" si="1"/>
        <v>Energikostnader</v>
      </c>
      <c r="AC31" s="561">
        <f t="shared" si="2"/>
        <v>0</v>
      </c>
    </row>
    <row r="32" spans="1:29" s="69" customFormat="1" ht="21" x14ac:dyDescent="0.4">
      <c r="A32" s="480"/>
      <c r="B32" s="287"/>
      <c r="C32" s="941" t="s">
        <v>229</v>
      </c>
      <c r="D32" s="942"/>
      <c r="E32" s="262"/>
      <c r="F32" s="276">
        <f>IF('Gårdens info'!$D$20&gt;0,J32/'Gårdens info'!$D$20,0)</f>
        <v>0</v>
      </c>
      <c r="G32" s="119" t="s">
        <v>57</v>
      </c>
      <c r="H32" s="502">
        <f>IF('Gårdens info'!$G$20&gt;0,F32/'Gårdens info'!$G$20,0)</f>
        <v>0</v>
      </c>
      <c r="I32" s="119" t="s">
        <v>206</v>
      </c>
      <c r="J32" s="237">
        <f>Egendom!AT25</f>
        <v>0</v>
      </c>
      <c r="K32" s="119" t="s">
        <v>529</v>
      </c>
      <c r="L32" s="267"/>
      <c r="M32" s="259"/>
      <c r="AB32" s="382" t="str">
        <f t="shared" si="1"/>
        <v>Anställd arbetskraft</v>
      </c>
      <c r="AC32" s="561">
        <f t="shared" si="2"/>
        <v>0</v>
      </c>
    </row>
    <row r="33" spans="1:29" s="192" customFormat="1" ht="21" x14ac:dyDescent="0.4">
      <c r="A33" s="481"/>
      <c r="B33" s="287"/>
      <c r="C33" s="941" t="s">
        <v>230</v>
      </c>
      <c r="D33" s="942"/>
      <c r="E33" s="262"/>
      <c r="F33" s="276">
        <f>IF('Gårdens info'!$D$20&gt;0,J33/'Gårdens info'!$D$20,0)</f>
        <v>0</v>
      </c>
      <c r="G33" s="119" t="s">
        <v>57</v>
      </c>
      <c r="H33" s="502">
        <f>IF('Gårdens info'!$G$20&gt;0,F33/'Gårdens info'!$G$20,0)</f>
        <v>0</v>
      </c>
      <c r="I33" s="119" t="s">
        <v>206</v>
      </c>
      <c r="J33" s="237">
        <f>Egendom!BR25</f>
        <v>0</v>
      </c>
      <c r="K33" s="119" t="s">
        <v>529</v>
      </c>
      <c r="L33" s="267"/>
      <c r="M33" s="259"/>
      <c r="N33" s="69"/>
      <c r="O33" s="69"/>
      <c r="P33" s="69"/>
      <c r="S33" s="69"/>
      <c r="T33" s="69"/>
      <c r="U33" s="69"/>
      <c r="AB33" s="384" t="s">
        <v>538</v>
      </c>
      <c r="AC33" s="384">
        <f>F26</f>
        <v>0</v>
      </c>
    </row>
    <row r="34" spans="1:29" ht="17.399999999999999" customHeight="1" x14ac:dyDescent="0.3">
      <c r="B34" s="287"/>
      <c r="C34" s="1108" t="s">
        <v>232</v>
      </c>
      <c r="D34" s="1108"/>
      <c r="E34" s="262"/>
      <c r="F34" s="276">
        <f>IF('Gårdens info'!$D$20&gt;0,J34/'Gårdens info'!$D$20,0)</f>
        <v>0</v>
      </c>
      <c r="G34" s="119" t="s">
        <v>57</v>
      </c>
      <c r="H34" s="502">
        <f>IF('Gårdens info'!$G$20&gt;0,F34/'Gårdens info'!$G$20,0)</f>
        <v>0</v>
      </c>
      <c r="I34" s="119" t="s">
        <v>206</v>
      </c>
      <c r="J34" s="237">
        <f>Egendom!CP25</f>
        <v>0</v>
      </c>
      <c r="K34" s="119" t="s">
        <v>529</v>
      </c>
      <c r="L34" s="267"/>
      <c r="M34" s="259"/>
      <c r="N34" s="69"/>
      <c r="O34" s="69"/>
      <c r="P34" s="69"/>
      <c r="S34" s="69"/>
      <c r="T34" s="69"/>
      <c r="U34" s="69"/>
      <c r="AB34" s="382" t="s">
        <v>482</v>
      </c>
      <c r="AC34" s="384">
        <f>F27</f>
        <v>0</v>
      </c>
    </row>
    <row r="35" spans="1:29" ht="21" x14ac:dyDescent="0.4">
      <c r="B35" s="287"/>
      <c r="C35" s="941" t="s">
        <v>483</v>
      </c>
      <c r="D35" s="942"/>
      <c r="E35" s="262"/>
      <c r="F35" s="276">
        <f>IF('Gårdens info'!$D$20&gt;0,J35/'Gårdens info'!$D$20,0)</f>
        <v>0</v>
      </c>
      <c r="G35" s="119" t="s">
        <v>57</v>
      </c>
      <c r="H35" s="502">
        <f>IF('Gårdens info'!$G$20&gt;0,F35/'Gårdens info'!$G$20,0)</f>
        <v>0</v>
      </c>
      <c r="I35" s="119" t="s">
        <v>206</v>
      </c>
      <c r="J35" s="237">
        <f>Egendom!DN25</f>
        <v>0</v>
      </c>
      <c r="K35" s="119" t="s">
        <v>529</v>
      </c>
      <c r="L35" s="267"/>
      <c r="M35" s="259"/>
      <c r="N35" s="192"/>
      <c r="O35" s="192"/>
      <c r="P35" s="192"/>
      <c r="S35" s="192"/>
      <c r="T35" s="192"/>
      <c r="U35" s="192"/>
      <c r="AB35" s="382" t="s">
        <v>235</v>
      </c>
      <c r="AC35" s="385">
        <f>F36</f>
        <v>0</v>
      </c>
    </row>
    <row r="36" spans="1:29" ht="20.399999999999999" x14ac:dyDescent="0.35">
      <c r="B36" s="289"/>
      <c r="C36" s="943" t="s">
        <v>54</v>
      </c>
      <c r="D36" s="944"/>
      <c r="E36" s="262"/>
      <c r="F36" s="280">
        <f>SUM(F32:F35)</f>
        <v>0</v>
      </c>
      <c r="G36" s="119" t="s">
        <v>57</v>
      </c>
      <c r="H36" s="509">
        <f t="shared" ref="H36:J36" si="3">SUM(H32:H35)</f>
        <v>0</v>
      </c>
      <c r="I36" s="119" t="s">
        <v>206</v>
      </c>
      <c r="J36" s="280">
        <f t="shared" si="3"/>
        <v>0</v>
      </c>
      <c r="K36" s="119" t="s">
        <v>529</v>
      </c>
      <c r="L36" s="281"/>
      <c r="M36" s="259"/>
      <c r="AB36" s="382" t="s">
        <v>236</v>
      </c>
      <c r="AC36" s="386">
        <f>F43</f>
        <v>0</v>
      </c>
    </row>
    <row r="37" spans="1:29" s="69" customFormat="1" ht="21" x14ac:dyDescent="0.4">
      <c r="A37" s="480"/>
      <c r="B37" s="287"/>
      <c r="C37" s="274"/>
      <c r="D37" s="270"/>
      <c r="E37" s="262"/>
      <c r="F37" s="276"/>
      <c r="G37" s="119"/>
      <c r="H37" s="277"/>
      <c r="I37" s="119"/>
      <c r="J37" s="237"/>
      <c r="K37" s="119"/>
      <c r="L37" s="267"/>
      <c r="M37" s="259"/>
      <c r="N37"/>
      <c r="O37"/>
      <c r="P37"/>
      <c r="S37"/>
      <c r="T37"/>
      <c r="U37"/>
      <c r="AB37" s="382" t="s">
        <v>237</v>
      </c>
      <c r="AC37" s="386">
        <f>F50</f>
        <v>0</v>
      </c>
    </row>
    <row r="38" spans="1:29" s="69" customFormat="1" ht="17.399999999999999" x14ac:dyDescent="0.3">
      <c r="A38" s="480"/>
      <c r="B38" s="1081" t="s">
        <v>83</v>
      </c>
      <c r="C38" s="1082"/>
      <c r="D38" s="1082"/>
      <c r="E38" s="262"/>
      <c r="F38" s="276"/>
      <c r="G38" s="119"/>
      <c r="H38" s="277"/>
      <c r="I38" s="119"/>
      <c r="J38" s="237"/>
      <c r="K38" s="119"/>
      <c r="L38" s="267"/>
      <c r="M38" s="259"/>
      <c r="N38"/>
      <c r="O38"/>
      <c r="P38"/>
      <c r="S38"/>
      <c r="T38"/>
      <c r="U38"/>
      <c r="AB38" s="382" t="s">
        <v>141</v>
      </c>
      <c r="AC38" s="386">
        <f>F56</f>
        <v>0</v>
      </c>
    </row>
    <row r="39" spans="1:29" s="69" customFormat="1" ht="21" x14ac:dyDescent="0.4">
      <c r="A39" s="480"/>
      <c r="B39" s="287"/>
      <c r="C39" s="941" t="s">
        <v>229</v>
      </c>
      <c r="D39" s="942"/>
      <c r="E39" s="262"/>
      <c r="F39" s="276">
        <f>IF('Gårdens info'!$D$20&gt;0,J39/'Gårdens info'!$D$20,0)</f>
        <v>0</v>
      </c>
      <c r="G39" s="119" t="s">
        <v>57</v>
      </c>
      <c r="H39" s="502">
        <f>IF('Gårdens info'!$G$20&gt;0,F39/'Gårdens info'!$G$20,0)</f>
        <v>0</v>
      </c>
      <c r="I39" s="119" t="s">
        <v>206</v>
      </c>
      <c r="J39" s="237">
        <f>Egendom!AT61</f>
        <v>0</v>
      </c>
      <c r="K39" s="119" t="s">
        <v>529</v>
      </c>
      <c r="L39" s="267"/>
      <c r="M39" s="259"/>
      <c r="AB39" s="382" t="s">
        <v>192</v>
      </c>
      <c r="AC39" s="384">
        <f>F62</f>
        <v>0</v>
      </c>
    </row>
    <row r="40" spans="1:29" s="5" customFormat="1" ht="21" x14ac:dyDescent="0.4">
      <c r="A40" s="478"/>
      <c r="B40" s="287"/>
      <c r="C40" s="941" t="s">
        <v>230</v>
      </c>
      <c r="D40" s="942"/>
      <c r="E40" s="262"/>
      <c r="F40" s="276">
        <f>IF('Gårdens info'!$D$20&gt;0,J40/'Gårdens info'!$D$20,0)</f>
        <v>0</v>
      </c>
      <c r="G40" s="119" t="s">
        <v>57</v>
      </c>
      <c r="H40" s="502">
        <f>IF('Gårdens info'!$G$20&gt;0,F40/'Gårdens info'!$G$20,0)</f>
        <v>0</v>
      </c>
      <c r="I40" s="119" t="s">
        <v>206</v>
      </c>
      <c r="J40" s="237">
        <f>Egendom!BR61</f>
        <v>0</v>
      </c>
      <c r="K40" s="119" t="s">
        <v>529</v>
      </c>
      <c r="L40" s="267"/>
      <c r="M40" s="259"/>
      <c r="N40" s="69"/>
      <c r="O40" s="69"/>
      <c r="P40" s="69"/>
      <c r="Q40" s="69"/>
      <c r="R40" s="69"/>
      <c r="S40" s="69"/>
      <c r="T40" s="69"/>
      <c r="U40" s="69"/>
      <c r="AB40" s="562"/>
      <c r="AC40" s="562"/>
    </row>
    <row r="41" spans="1:29" s="5" customFormat="1" ht="17.399999999999999" customHeight="1" x14ac:dyDescent="0.3">
      <c r="A41" s="478"/>
      <c r="B41" s="287"/>
      <c r="C41" s="1108" t="s">
        <v>232</v>
      </c>
      <c r="D41" s="1108"/>
      <c r="E41" s="262"/>
      <c r="F41" s="276">
        <f>IF('Gårdens info'!$D$20&gt;0,J41/'Gårdens info'!$D$20,0)</f>
        <v>0</v>
      </c>
      <c r="G41" s="119" t="s">
        <v>57</v>
      </c>
      <c r="H41" s="502">
        <f>IF('Gårdens info'!$G$20&gt;0,F41/'Gårdens info'!$G$20,0)</f>
        <v>0</v>
      </c>
      <c r="I41" s="119" t="s">
        <v>206</v>
      </c>
      <c r="J41" s="237">
        <f>Egendom!CP61</f>
        <v>0</v>
      </c>
      <c r="K41" s="119" t="s">
        <v>529</v>
      </c>
      <c r="L41" s="267"/>
      <c r="M41" s="259"/>
      <c r="N41" s="69"/>
      <c r="O41" s="69"/>
      <c r="P41" s="69"/>
      <c r="Q41" s="69"/>
      <c r="R41" s="69"/>
      <c r="S41" s="69"/>
      <c r="T41" s="69"/>
      <c r="U41" s="69"/>
    </row>
    <row r="42" spans="1:29" s="5" customFormat="1" ht="21" x14ac:dyDescent="0.4">
      <c r="A42" s="478"/>
      <c r="B42" s="287"/>
      <c r="C42" s="941" t="s">
        <v>483</v>
      </c>
      <c r="D42" s="942"/>
      <c r="E42" s="262"/>
      <c r="F42" s="276">
        <f>IF('Gårdens info'!$D$20&gt;0,J42/'Gårdens info'!$D$20,0)</f>
        <v>0</v>
      </c>
      <c r="G42" s="119" t="s">
        <v>57</v>
      </c>
      <c r="H42" s="502">
        <f>IF('Gårdens info'!$G$20&gt;0,F42/'Gårdens info'!$G$20,0)</f>
        <v>0</v>
      </c>
      <c r="I42" s="119" t="s">
        <v>206</v>
      </c>
      <c r="J42" s="237">
        <f>Egendom!DN61</f>
        <v>0</v>
      </c>
      <c r="K42" s="119" t="s">
        <v>529</v>
      </c>
      <c r="L42" s="267"/>
      <c r="M42" s="259"/>
    </row>
    <row r="43" spans="1:29" s="5" customFormat="1" ht="20.399999999999999" x14ac:dyDescent="0.35">
      <c r="A43" s="478"/>
      <c r="B43" s="289"/>
      <c r="C43" s="943" t="s">
        <v>54</v>
      </c>
      <c r="D43" s="944"/>
      <c r="E43" s="262"/>
      <c r="F43" s="280">
        <f>SUM(F39:F42)</f>
        <v>0</v>
      </c>
      <c r="G43" s="119" t="s">
        <v>57</v>
      </c>
      <c r="H43" s="509">
        <f t="shared" ref="H43:J43" si="4">SUM(H39:H42)</f>
        <v>0</v>
      </c>
      <c r="I43" s="119" t="s">
        <v>206</v>
      </c>
      <c r="J43" s="280">
        <f t="shared" si="4"/>
        <v>0</v>
      </c>
      <c r="K43" s="119" t="s">
        <v>529</v>
      </c>
      <c r="L43" s="281"/>
      <c r="M43" s="259"/>
    </row>
    <row r="44" spans="1:29" s="5" customFormat="1" ht="21" x14ac:dyDescent="0.4">
      <c r="A44" s="478"/>
      <c r="B44" s="287"/>
      <c r="C44" s="274"/>
      <c r="D44" s="270"/>
      <c r="E44" s="262"/>
      <c r="F44" s="276"/>
      <c r="G44" s="119"/>
      <c r="H44" s="277"/>
      <c r="I44" s="119"/>
      <c r="J44" s="237"/>
      <c r="K44" s="119"/>
      <c r="L44" s="267"/>
      <c r="M44" s="259"/>
    </row>
    <row r="45" spans="1:29" s="5" customFormat="1" ht="43.2" customHeight="1" x14ac:dyDescent="0.3">
      <c r="A45" s="478"/>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info'!$D$20&gt;0,J46/'Gårdens info'!$D$20,0)</f>
        <v>0</v>
      </c>
      <c r="G46" s="119" t="s">
        <v>57</v>
      </c>
      <c r="H46" s="502">
        <f>IF('Gårdens info'!$G$20&gt;0,F46/'Gårdens info'!$G$20,0)</f>
        <v>0</v>
      </c>
      <c r="I46" s="119" t="s">
        <v>206</v>
      </c>
      <c r="J46" s="237">
        <f>Egendom!AT90</f>
        <v>0</v>
      </c>
      <c r="K46" s="119" t="s">
        <v>529</v>
      </c>
      <c r="L46" s="267"/>
      <c r="M46" s="259"/>
      <c r="N46" s="5"/>
      <c r="O46" s="5"/>
      <c r="P46" s="5"/>
      <c r="Q46" s="5"/>
      <c r="R46" s="5"/>
      <c r="S46" s="5"/>
      <c r="T46" s="5"/>
      <c r="U46" s="5"/>
    </row>
    <row r="47" spans="1:29" s="5" customFormat="1" ht="21" x14ac:dyDescent="0.4">
      <c r="A47" s="478"/>
      <c r="B47" s="287"/>
      <c r="C47" s="941" t="s">
        <v>230</v>
      </c>
      <c r="D47" s="942"/>
      <c r="E47" s="262"/>
      <c r="F47" s="276">
        <f>IF('Gårdens info'!$D$20&gt;0,J47/'Gårdens info'!$D$20,0)</f>
        <v>0</v>
      </c>
      <c r="G47" s="119" t="s">
        <v>57</v>
      </c>
      <c r="H47" s="502">
        <f>IF('Gårdens info'!$G$20&gt;0,F47/'Gårdens info'!$G$20,0)</f>
        <v>0</v>
      </c>
      <c r="I47" s="119" t="s">
        <v>206</v>
      </c>
      <c r="J47" s="237">
        <f>Egendom!BR90</f>
        <v>0</v>
      </c>
      <c r="K47" s="119" t="s">
        <v>529</v>
      </c>
      <c r="L47" s="267"/>
      <c r="M47" s="259"/>
    </row>
    <row r="48" spans="1:29" s="5" customFormat="1" ht="17.399999999999999" customHeight="1" x14ac:dyDescent="0.3">
      <c r="A48" s="478"/>
      <c r="B48" s="287"/>
      <c r="C48" s="1108" t="s">
        <v>232</v>
      </c>
      <c r="D48" s="1108"/>
      <c r="E48" s="262"/>
      <c r="F48" s="276">
        <f>IF('Gårdens info'!$D$20&gt;0,J48/'Gårdens info'!$D$20,0)</f>
        <v>0</v>
      </c>
      <c r="G48" s="119" t="s">
        <v>57</v>
      </c>
      <c r="H48" s="502">
        <f>IF('Gårdens info'!$G$20&gt;0,F48/'Gårdens info'!$G$20,0)</f>
        <v>0</v>
      </c>
      <c r="I48" s="119" t="s">
        <v>206</v>
      </c>
      <c r="J48" s="237">
        <f>Egendom!CP90</f>
        <v>0</v>
      </c>
      <c r="K48" s="119" t="s">
        <v>529</v>
      </c>
      <c r="L48" s="267"/>
      <c r="M48" s="259"/>
      <c r="N48"/>
      <c r="O48"/>
      <c r="P48"/>
      <c r="Q48"/>
      <c r="R48"/>
      <c r="S48"/>
      <c r="T48"/>
      <c r="U48"/>
    </row>
    <row r="49" spans="1:13" s="5" customFormat="1" ht="21" x14ac:dyDescent="0.4">
      <c r="A49" s="478"/>
      <c r="B49" s="287"/>
      <c r="C49" s="941" t="s">
        <v>483</v>
      </c>
      <c r="D49" s="942"/>
      <c r="E49" s="262"/>
      <c r="F49" s="276">
        <f>IF('Gårdens info'!$D$20&gt;0,J49/'Gårdens info'!$D$20,0)</f>
        <v>0</v>
      </c>
      <c r="G49" s="119" t="s">
        <v>57</v>
      </c>
      <c r="H49" s="502">
        <f>IF('Gårdens info'!$G$20&gt;0,F49/'Gårdens info'!$G$20,0)</f>
        <v>0</v>
      </c>
      <c r="I49" s="119" t="s">
        <v>206</v>
      </c>
      <c r="J49" s="237">
        <f>Egendom!DN90</f>
        <v>0</v>
      </c>
      <c r="K49" s="119" t="s">
        <v>529</v>
      </c>
      <c r="L49" s="267"/>
      <c r="M49" s="259"/>
    </row>
    <row r="50" spans="1:13" s="5" customFormat="1" ht="20.399999999999999" x14ac:dyDescent="0.35">
      <c r="A50" s="478"/>
      <c r="B50" s="289"/>
      <c r="C50" s="943" t="s">
        <v>54</v>
      </c>
      <c r="D50" s="944"/>
      <c r="E50" s="262"/>
      <c r="F50" s="280">
        <f>SUM(F46:F49)</f>
        <v>0</v>
      </c>
      <c r="G50" s="119" t="s">
        <v>57</v>
      </c>
      <c r="H50" s="509">
        <f t="shared" ref="H50:J50" si="5">SUM(H46:H49)</f>
        <v>0</v>
      </c>
      <c r="I50" s="119" t="s">
        <v>206</v>
      </c>
      <c r="J50" s="280">
        <f t="shared" si="5"/>
        <v>0</v>
      </c>
      <c r="K50" s="119" t="s">
        <v>529</v>
      </c>
      <c r="L50" s="281"/>
      <c r="M50" s="259"/>
    </row>
    <row r="51" spans="1:13" s="5" customFormat="1" ht="21" x14ac:dyDescent="0.4">
      <c r="A51" s="478"/>
      <c r="B51" s="287"/>
      <c r="C51" s="274"/>
      <c r="D51" s="270"/>
      <c r="E51" s="262"/>
      <c r="F51" s="276"/>
      <c r="G51" s="119"/>
      <c r="H51" s="277"/>
      <c r="I51" s="119"/>
      <c r="J51" s="237"/>
      <c r="K51" s="119"/>
      <c r="L51" s="267"/>
      <c r="M51" s="259"/>
    </row>
    <row r="52" spans="1:13" s="5" customFormat="1" ht="21" x14ac:dyDescent="0.4">
      <c r="A52" s="478"/>
      <c r="B52" s="1084" t="s">
        <v>139</v>
      </c>
      <c r="C52" s="1085"/>
      <c r="D52" s="270"/>
      <c r="E52" s="262"/>
      <c r="F52" s="276"/>
      <c r="G52" s="119"/>
      <c r="H52" s="277"/>
      <c r="I52" s="119"/>
      <c r="J52" s="237"/>
      <c r="K52" s="119"/>
      <c r="L52" s="267"/>
      <c r="M52" s="259"/>
    </row>
    <row r="53" spans="1:13" s="5" customFormat="1" ht="21" x14ac:dyDescent="0.4">
      <c r="A53" s="478"/>
      <c r="B53" s="287"/>
      <c r="C53" s="941" t="s">
        <v>229</v>
      </c>
      <c r="D53" s="942"/>
      <c r="E53" s="262"/>
      <c r="F53" s="276">
        <f>IF('Gårdens info'!$D$20&gt;0,J53/'Gårdens info'!$D$20,0)</f>
        <v>0</v>
      </c>
      <c r="G53" s="119" t="s">
        <v>57</v>
      </c>
      <c r="H53" s="502">
        <f>IF('Gårdens info'!$G$20&gt;0,F53/'Gårdens info'!$G$20,0)</f>
        <v>0</v>
      </c>
      <c r="I53" s="119" t="s">
        <v>206</v>
      </c>
      <c r="J53" s="237">
        <f>Egendom!AT93</f>
        <v>0</v>
      </c>
      <c r="K53" s="119" t="s">
        <v>529</v>
      </c>
      <c r="L53" s="267"/>
      <c r="M53" s="259"/>
    </row>
    <row r="54" spans="1:13" s="5" customFormat="1" ht="19.95" customHeight="1" x14ac:dyDescent="0.4">
      <c r="A54" s="478"/>
      <c r="B54" s="287"/>
      <c r="C54" s="941" t="s">
        <v>230</v>
      </c>
      <c r="D54" s="942"/>
      <c r="E54" s="262"/>
      <c r="F54" s="276">
        <f>IF('Gårdens info'!$D$20&gt;0,J54/'Gårdens info'!$D$20,0)</f>
        <v>0</v>
      </c>
      <c r="G54" s="119" t="s">
        <v>57</v>
      </c>
      <c r="H54" s="502">
        <f>IF('Gårdens info'!$G$20&gt;0,F54/'Gårdens info'!$G$20,0)</f>
        <v>0</v>
      </c>
      <c r="I54" s="119" t="s">
        <v>206</v>
      </c>
      <c r="J54" s="237">
        <f>Egendom!BR93</f>
        <v>0</v>
      </c>
      <c r="K54" s="119" t="s">
        <v>529</v>
      </c>
      <c r="L54" s="267"/>
      <c r="M54" s="259"/>
    </row>
    <row r="55" spans="1:13" s="5" customFormat="1" ht="17.399999999999999" customHeight="1" x14ac:dyDescent="0.3">
      <c r="A55" s="478"/>
      <c r="B55" s="287"/>
      <c r="C55" s="1108" t="s">
        <v>232</v>
      </c>
      <c r="D55" s="1108"/>
      <c r="E55" s="262"/>
      <c r="F55" s="276">
        <f>IF('Gårdens info'!$D$20&gt;0,J55/'Gårdens info'!$D$20,0)</f>
        <v>0</v>
      </c>
      <c r="G55" s="119" t="s">
        <v>57</v>
      </c>
      <c r="H55" s="502">
        <f>IF('Gårdens info'!$G$20&gt;0,F55/'Gårdens info'!$G$20,0)</f>
        <v>0</v>
      </c>
      <c r="I55" s="119" t="s">
        <v>206</v>
      </c>
      <c r="J55" s="237">
        <f>Egendom!CP93</f>
        <v>0</v>
      </c>
      <c r="K55" s="119" t="s">
        <v>529</v>
      </c>
      <c r="L55" s="267"/>
      <c r="M55" s="259"/>
    </row>
    <row r="56" spans="1:13" s="5" customFormat="1" ht="15.6" x14ac:dyDescent="0.3">
      <c r="A56" s="478"/>
      <c r="B56" s="286"/>
      <c r="C56" s="261" t="s">
        <v>54</v>
      </c>
      <c r="D56" s="261"/>
      <c r="E56" s="261"/>
      <c r="F56" s="280">
        <f>SUM(F53:F55)</f>
        <v>0</v>
      </c>
      <c r="G56" s="119" t="s">
        <v>57</v>
      </c>
      <c r="H56" s="509">
        <f t="shared" ref="H56:J56" si="6">SUM(H53:H55)</f>
        <v>0</v>
      </c>
      <c r="I56" s="119" t="s">
        <v>206</v>
      </c>
      <c r="J56" s="280">
        <f t="shared" si="6"/>
        <v>0</v>
      </c>
      <c r="K56" s="119" t="s">
        <v>529</v>
      </c>
      <c r="L56" s="284"/>
      <c r="M56" s="290"/>
    </row>
    <row r="57" spans="1:13" s="5" customFormat="1" ht="21" customHeight="1" x14ac:dyDescent="0.4">
      <c r="A57" s="478"/>
      <c r="B57" s="1061" t="s">
        <v>191</v>
      </c>
      <c r="C57" s="1043"/>
      <c r="D57" s="1043"/>
      <c r="E57" s="262"/>
      <c r="F57" s="266">
        <f>F36+F43+F50+F56</f>
        <v>0</v>
      </c>
      <c r="G57" s="267" t="s">
        <v>57</v>
      </c>
      <c r="H57" s="507">
        <f>H36+H43+H50+H56</f>
        <v>0</v>
      </c>
      <c r="I57" s="267" t="s">
        <v>206</v>
      </c>
      <c r="J57" s="269">
        <f>J36+J43+J50+J56</f>
        <v>0</v>
      </c>
      <c r="K57" s="267" t="s">
        <v>529</v>
      </c>
      <c r="L57" s="267"/>
      <c r="M57" s="259"/>
    </row>
    <row r="58" spans="1:13" s="5" customFormat="1" ht="15.6" x14ac:dyDescent="0.3">
      <c r="A58" s="478"/>
      <c r="B58" s="286"/>
      <c r="C58" s="262"/>
      <c r="D58" s="262"/>
      <c r="E58" s="262"/>
      <c r="F58" s="263"/>
      <c r="G58" s="243"/>
      <c r="H58" s="264"/>
      <c r="I58" s="243"/>
      <c r="J58" s="258"/>
      <c r="K58" s="243"/>
      <c r="L58" s="265"/>
      <c r="M58" s="259"/>
    </row>
    <row r="59" spans="1:13" s="5" customFormat="1" ht="21" x14ac:dyDescent="0.4">
      <c r="A59" s="478"/>
      <c r="B59" s="257" t="s">
        <v>192</v>
      </c>
      <c r="C59" s="262"/>
      <c r="D59" s="262"/>
      <c r="E59" s="262"/>
      <c r="F59" s="263"/>
      <c r="G59" s="243"/>
      <c r="H59" s="264"/>
      <c r="I59" s="243"/>
      <c r="J59" s="258"/>
      <c r="K59" s="243"/>
      <c r="L59" s="265"/>
      <c r="M59" s="259"/>
    </row>
    <row r="60" spans="1:13" s="5" customFormat="1" ht="15" x14ac:dyDescent="0.25">
      <c r="A60" s="478"/>
      <c r="B60" s="235"/>
      <c r="C60" s="228" t="s">
        <v>192</v>
      </c>
      <c r="D60" s="236"/>
      <c r="E60" s="236"/>
      <c r="F60" s="237">
        <f>IF('Gårdens info'!D20&gt;0,H169,0)</f>
        <v>0</v>
      </c>
      <c r="G60" s="119" t="s">
        <v>57</v>
      </c>
      <c r="H60" s="503">
        <f>IF('Gårdens info'!G20&gt;0,F60/'Gårdens info'!$G$20,0)</f>
        <v>0</v>
      </c>
      <c r="I60" s="119" t="s">
        <v>206</v>
      </c>
      <c r="J60" s="237">
        <f>F60*'Gårdens info'!D20</f>
        <v>0</v>
      </c>
      <c r="K60" s="119" t="s">
        <v>529</v>
      </c>
      <c r="L60" s="236"/>
      <c r="M60" s="239"/>
    </row>
    <row r="61" spans="1:13" s="5" customFormat="1" ht="17.399999999999999" x14ac:dyDescent="0.3">
      <c r="A61" s="478"/>
      <c r="B61" s="248"/>
      <c r="C61" s="245"/>
      <c r="D61" s="249"/>
      <c r="E61" s="249"/>
      <c r="F61" s="250"/>
      <c r="G61" s="120"/>
      <c r="H61" s="249"/>
      <c r="I61" s="249"/>
      <c r="J61" s="249"/>
      <c r="K61" s="249"/>
      <c r="L61" s="249"/>
      <c r="M61" s="234"/>
    </row>
    <row r="62" spans="1:13" s="5" customFormat="1" ht="21" customHeight="1" x14ac:dyDescent="0.4">
      <c r="A62" s="478"/>
      <c r="B62" s="345" t="s">
        <v>194</v>
      </c>
      <c r="C62" s="346"/>
      <c r="D62" s="346"/>
      <c r="E62" s="262"/>
      <c r="F62" s="266">
        <f>F60</f>
        <v>0</v>
      </c>
      <c r="G62" s="267" t="s">
        <v>57</v>
      </c>
      <c r="H62" s="507">
        <f>H60</f>
        <v>0</v>
      </c>
      <c r="I62" s="267" t="s">
        <v>206</v>
      </c>
      <c r="J62" s="269">
        <f>J60</f>
        <v>0</v>
      </c>
      <c r="K62" s="267" t="s">
        <v>529</v>
      </c>
      <c r="L62" s="267"/>
      <c r="M62" s="259"/>
    </row>
    <row r="63" spans="1:13" s="5" customFormat="1" ht="21" x14ac:dyDescent="0.4">
      <c r="A63" s="478"/>
      <c r="B63" s="288"/>
      <c r="C63" s="270"/>
      <c r="D63" s="270"/>
      <c r="E63" s="262"/>
      <c r="F63" s="266"/>
      <c r="G63" s="267"/>
      <c r="H63" s="507"/>
      <c r="I63" s="267"/>
      <c r="J63" s="269"/>
      <c r="K63" s="267"/>
      <c r="L63" s="267"/>
      <c r="M63" s="259"/>
    </row>
    <row r="64" spans="1:13" s="5" customFormat="1" ht="21" customHeight="1" x14ac:dyDescent="0.4">
      <c r="A64" s="478"/>
      <c r="B64" s="1061" t="s">
        <v>195</v>
      </c>
      <c r="C64" s="1043"/>
      <c r="D64" s="1043"/>
      <c r="E64" s="262"/>
      <c r="F64" s="266">
        <f>F28+F57+F62</f>
        <v>0</v>
      </c>
      <c r="G64" s="267" t="s">
        <v>57</v>
      </c>
      <c r="H64" s="572">
        <f>H28+H57+H62</f>
        <v>0</v>
      </c>
      <c r="I64" s="267" t="s">
        <v>206</v>
      </c>
      <c r="J64" s="266">
        <f>J28+J57+J62</f>
        <v>0</v>
      </c>
      <c r="K64" s="267" t="s">
        <v>529</v>
      </c>
      <c r="L64" s="267"/>
      <c r="M64" s="259"/>
    </row>
    <row r="65" spans="1:21" s="5" customFormat="1" ht="21" x14ac:dyDescent="0.4">
      <c r="A65" s="478"/>
      <c r="B65" s="288"/>
      <c r="C65" s="270"/>
      <c r="D65" s="270"/>
      <c r="E65" s="262"/>
      <c r="F65" s="266"/>
      <c r="G65" s="267"/>
      <c r="H65" s="268"/>
      <c r="I65" s="267"/>
      <c r="J65" s="269"/>
      <c r="K65" s="267"/>
      <c r="L65" s="267"/>
      <c r="M65" s="259"/>
    </row>
    <row r="66" spans="1:21" s="5" customFormat="1" ht="21.6" customHeight="1" thickBot="1" x14ac:dyDescent="0.45">
      <c r="A66" s="478"/>
      <c r="B66" s="1059" t="s">
        <v>198</v>
      </c>
      <c r="C66" s="1060"/>
      <c r="D66" s="1060"/>
      <c r="E66" s="253"/>
      <c r="F66" s="292">
        <f>F11-F28-F57-F62</f>
        <v>0</v>
      </c>
      <c r="G66" s="293" t="s">
        <v>57</v>
      </c>
      <c r="H66" s="510">
        <f>H11-H28-H57-H62</f>
        <v>0</v>
      </c>
      <c r="I66" s="293" t="s">
        <v>206</v>
      </c>
      <c r="J66" s="292">
        <f>J11-J28-J57-J62</f>
        <v>0</v>
      </c>
      <c r="K66" s="293" t="s">
        <v>529</v>
      </c>
      <c r="L66" s="293"/>
      <c r="M66" s="254"/>
    </row>
    <row r="67" spans="1:21" s="5" customFormat="1" ht="21" x14ac:dyDescent="0.4">
      <c r="A67" s="478"/>
      <c r="B67" s="55"/>
      <c r="C67"/>
      <c r="D67"/>
      <c r="E67"/>
      <c r="F67"/>
      <c r="G67"/>
      <c r="H67"/>
      <c r="I67"/>
      <c r="J67"/>
      <c r="K67"/>
      <c r="L67"/>
      <c r="M67"/>
    </row>
    <row r="68" spans="1:21" s="194" customFormat="1" ht="16.2" thickBot="1" x14ac:dyDescent="0.35">
      <c r="A68" s="482"/>
      <c r="B68"/>
      <c r="C68"/>
      <c r="D68"/>
      <c r="E68"/>
      <c r="F68"/>
      <c r="G68"/>
      <c r="H68"/>
      <c r="I68"/>
      <c r="J68"/>
      <c r="K68"/>
      <c r="L68"/>
      <c r="M68"/>
      <c r="N68" s="5"/>
      <c r="O68" s="5"/>
      <c r="P68" s="5"/>
      <c r="Q68" s="5"/>
      <c r="R68" s="5"/>
      <c r="S68" s="5"/>
      <c r="T68" s="5"/>
      <c r="U68" s="5"/>
    </row>
    <row r="69" spans="1:21" s="5" customFormat="1" ht="21.6" customHeight="1" thickBot="1" x14ac:dyDescent="0.45">
      <c r="A69" s="478"/>
      <c r="B69" s="1078" t="s">
        <v>240</v>
      </c>
      <c r="C69" s="1079"/>
      <c r="D69" s="1079"/>
      <c r="E69" s="1080"/>
      <c r="F69"/>
      <c r="G69"/>
      <c r="H69"/>
      <c r="I69"/>
      <c r="J69"/>
      <c r="K69"/>
      <c r="L69" s="1073" t="s">
        <v>241</v>
      </c>
      <c r="M69" s="1073"/>
    </row>
    <row r="70" spans="1:21" s="5" customFormat="1" ht="21" x14ac:dyDescent="0.4">
      <c r="A70" s="478"/>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382</v>
      </c>
      <c r="D73" s="46"/>
      <c r="E73" s="44"/>
      <c r="F73" s="74">
        <v>30000</v>
      </c>
      <c r="G73" s="44" t="s">
        <v>357</v>
      </c>
      <c r="H73" s="74">
        <v>4.4999999999999998E-2</v>
      </c>
      <c r="I73" s="49" t="s">
        <v>246</v>
      </c>
      <c r="J73" s="191">
        <f>F73*H73</f>
        <v>1350</v>
      </c>
      <c r="K73" s="44" t="s">
        <v>57</v>
      </c>
      <c r="L73" s="44"/>
      <c r="M73" s="46"/>
    </row>
    <row r="74" spans="1:21" s="5" customFormat="1" x14ac:dyDescent="0.25">
      <c r="A74" s="478"/>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478"/>
      <c r="B76" s="96" t="s">
        <v>494</v>
      </c>
      <c r="C76" s="97"/>
      <c r="D76" s="97"/>
      <c r="E76" s="97"/>
      <c r="F76" s="1074" t="s">
        <v>114</v>
      </c>
      <c r="G76" s="1074"/>
      <c r="H76" s="1074" t="s">
        <v>113</v>
      </c>
      <c r="I76" s="1074"/>
      <c r="J76" s="1074" t="s">
        <v>243</v>
      </c>
      <c r="K76" s="1074"/>
      <c r="L76" s="99"/>
      <c r="M76" s="99"/>
    </row>
    <row r="77" spans="1:21" s="56" customFormat="1" ht="18" thickBot="1" x14ac:dyDescent="0.35">
      <c r="A77" s="479"/>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480"/>
      <c r="B78" s="97"/>
      <c r="C78" s="97" t="s">
        <v>391</v>
      </c>
      <c r="D78" s="99"/>
      <c r="E78" s="97"/>
      <c r="F78" s="94">
        <v>800</v>
      </c>
      <c r="G78" s="97" t="s">
        <v>212</v>
      </c>
      <c r="H78" s="77">
        <v>0.75</v>
      </c>
      <c r="I78" s="98" t="s">
        <v>206</v>
      </c>
      <c r="J78" s="100">
        <f>F78*H78</f>
        <v>600</v>
      </c>
      <c r="K78" s="97" t="s">
        <v>57</v>
      </c>
      <c r="L78" s="99"/>
      <c r="M78" s="99"/>
      <c r="N78" s="5"/>
      <c r="O78" s="5"/>
      <c r="P78" s="5"/>
      <c r="Q78" s="5"/>
      <c r="R78" s="5"/>
      <c r="S78" s="5"/>
      <c r="T78" s="5"/>
      <c r="U78" s="5"/>
    </row>
    <row r="79" spans="1:21" s="56" customFormat="1" ht="18" thickBot="1" x14ac:dyDescent="0.35">
      <c r="A79" s="479"/>
      <c r="B79" s="97"/>
      <c r="C79" s="97" t="s">
        <v>360</v>
      </c>
      <c r="D79" s="99"/>
      <c r="E79" s="97"/>
      <c r="F79" s="74">
        <v>500</v>
      </c>
      <c r="G79" s="97" t="s">
        <v>212</v>
      </c>
      <c r="H79" s="77">
        <v>0.4</v>
      </c>
      <c r="I79" s="98" t="s">
        <v>206</v>
      </c>
      <c r="J79" s="100">
        <f t="shared" ref="J79:J82" si="7">F79*H79</f>
        <v>200</v>
      </c>
      <c r="K79" s="97" t="s">
        <v>57</v>
      </c>
      <c r="L79" s="99"/>
      <c r="M79" s="99"/>
      <c r="N79" s="69"/>
      <c r="O79" s="69"/>
      <c r="P79" s="69"/>
      <c r="Q79" s="69"/>
      <c r="R79" s="69"/>
      <c r="S79" s="69"/>
      <c r="T79" s="69"/>
      <c r="U79" s="69"/>
    </row>
    <row r="80" spans="1:21" s="69" customFormat="1" ht="15.6" thickBot="1" x14ac:dyDescent="0.3">
      <c r="A80" s="480"/>
      <c r="B80" s="97"/>
      <c r="C80" s="945" t="s">
        <v>361</v>
      </c>
      <c r="D80" s="99"/>
      <c r="E80" s="97"/>
      <c r="F80" s="74">
        <v>2000</v>
      </c>
      <c r="G80" s="97" t="s">
        <v>212</v>
      </c>
      <c r="H80" s="77">
        <v>0.46</v>
      </c>
      <c r="I80" s="98" t="s">
        <v>206</v>
      </c>
      <c r="J80" s="100">
        <f t="shared" si="7"/>
        <v>920</v>
      </c>
      <c r="K80" s="97" t="s">
        <v>57</v>
      </c>
      <c r="L80" s="99"/>
      <c r="M80" s="99"/>
      <c r="N80" s="5"/>
      <c r="O80" s="5"/>
      <c r="P80" s="5"/>
      <c r="Q80" s="5"/>
      <c r="R80" s="5"/>
      <c r="S80" s="5"/>
      <c r="T80" s="5"/>
      <c r="U80" s="5"/>
    </row>
    <row r="81" spans="1:21" s="56" customFormat="1" ht="18" thickBot="1" x14ac:dyDescent="0.35">
      <c r="A81" s="479"/>
      <c r="B81" s="97"/>
      <c r="C81" s="945" t="s">
        <v>251</v>
      </c>
      <c r="D81" s="97"/>
      <c r="E81" s="97"/>
      <c r="F81" s="74"/>
      <c r="G81" s="97" t="s">
        <v>212</v>
      </c>
      <c r="H81" s="77"/>
      <c r="I81" s="98" t="s">
        <v>206</v>
      </c>
      <c r="J81" s="100">
        <f t="shared" si="7"/>
        <v>0</v>
      </c>
      <c r="K81" s="97" t="s">
        <v>57</v>
      </c>
      <c r="L81" s="99"/>
      <c r="M81" s="99"/>
    </row>
    <row r="82" spans="1:21" ht="15.6" thickBot="1" x14ac:dyDescent="0.3">
      <c r="B82" s="97"/>
      <c r="C82" s="945" t="s">
        <v>251</v>
      </c>
      <c r="D82" s="97"/>
      <c r="E82" s="97"/>
      <c r="F82" s="74"/>
      <c r="G82" s="97" t="s">
        <v>212</v>
      </c>
      <c r="H82" s="77"/>
      <c r="I82" s="98" t="s">
        <v>206</v>
      </c>
      <c r="J82" s="100">
        <f t="shared" si="7"/>
        <v>0</v>
      </c>
      <c r="K82" s="97" t="s">
        <v>57</v>
      </c>
      <c r="L82" s="99"/>
      <c r="M82" s="99"/>
      <c r="N82" s="69"/>
      <c r="O82" s="69"/>
      <c r="P82" s="69"/>
      <c r="Q82" s="69"/>
      <c r="R82" s="69"/>
      <c r="S82" s="69"/>
      <c r="T82" s="69"/>
      <c r="U82" s="69"/>
    </row>
    <row r="83" spans="1:21" s="69" customFormat="1" ht="17.399999999999999" x14ac:dyDescent="0.3">
      <c r="A83" s="480"/>
      <c r="B83" s="214"/>
      <c r="C83" s="214" t="s">
        <v>54</v>
      </c>
      <c r="D83" s="214"/>
      <c r="E83" s="214"/>
      <c r="F83" s="214"/>
      <c r="G83" s="214"/>
      <c r="H83" s="214"/>
      <c r="I83" s="215"/>
      <c r="J83" s="216">
        <f>SUM(J78:J82)</f>
        <v>1720</v>
      </c>
      <c r="K83" s="214" t="s">
        <v>57</v>
      </c>
      <c r="L83" s="214"/>
      <c r="M83" s="214"/>
      <c r="N83" s="56"/>
      <c r="O83" s="56"/>
      <c r="P83" s="56"/>
      <c r="Q83" s="56"/>
      <c r="R83" s="56"/>
      <c r="S83" s="56"/>
      <c r="T83" s="56"/>
      <c r="U83" s="56"/>
    </row>
    <row r="84" spans="1:21" s="5" customFormat="1" x14ac:dyDescent="0.25">
      <c r="A84" s="478"/>
      <c r="B84" s="97"/>
      <c r="C84" s="97"/>
      <c r="D84" s="97"/>
      <c r="E84" s="97"/>
      <c r="F84" s="97"/>
      <c r="G84" s="97"/>
      <c r="H84" s="97"/>
      <c r="I84" s="98"/>
      <c r="J84" s="100"/>
      <c r="K84" s="97"/>
      <c r="L84" s="99"/>
      <c r="M84" s="99"/>
      <c r="N84"/>
      <c r="O84"/>
      <c r="P84"/>
      <c r="Q84"/>
      <c r="R84"/>
      <c r="S84"/>
      <c r="T84"/>
      <c r="U84"/>
    </row>
    <row r="85" spans="1:21" s="5" customFormat="1" ht="15" x14ac:dyDescent="0.25">
      <c r="A85" s="478"/>
      <c r="B85"/>
      <c r="C85"/>
      <c r="D85"/>
      <c r="E85"/>
      <c r="F85"/>
      <c r="G85"/>
      <c r="H85"/>
      <c r="I85"/>
      <c r="J85"/>
      <c r="K85"/>
      <c r="L85"/>
      <c r="M85"/>
      <c r="N85" s="69"/>
      <c r="O85" s="69"/>
      <c r="P85" s="69"/>
      <c r="Q85" s="69"/>
      <c r="R85" s="69"/>
      <c r="S85" s="69"/>
      <c r="T85" s="69"/>
      <c r="U85" s="69"/>
    </row>
    <row r="86" spans="1:21" s="5" customFormat="1" ht="15.6" x14ac:dyDescent="0.3">
      <c r="A86" s="478"/>
      <c r="B86" s="85" t="s">
        <v>252</v>
      </c>
      <c r="C86" s="51"/>
      <c r="D86" s="51"/>
      <c r="E86" s="51"/>
      <c r="F86" s="1075" t="s">
        <v>114</v>
      </c>
      <c r="G86" s="1075"/>
      <c r="H86" s="1076" t="s">
        <v>113</v>
      </c>
      <c r="I86" s="1076"/>
      <c r="J86" s="1075" t="s">
        <v>243</v>
      </c>
      <c r="K86" s="1075"/>
      <c r="L86" s="58"/>
      <c r="M86" s="58"/>
    </row>
    <row r="87" spans="1:21" x14ac:dyDescent="0.25">
      <c r="B87" s="51"/>
      <c r="C87" s="51"/>
      <c r="D87" s="51"/>
      <c r="E87" s="51"/>
      <c r="F87" s="53"/>
      <c r="G87" s="53"/>
      <c r="H87" s="52"/>
      <c r="I87" s="52"/>
      <c r="J87" s="52"/>
      <c r="K87" s="58"/>
      <c r="L87" s="58"/>
      <c r="M87" s="58"/>
      <c r="N87" s="5"/>
      <c r="O87" s="5"/>
      <c r="P87" s="5"/>
      <c r="Q87" s="5"/>
      <c r="R87" s="5"/>
      <c r="S87" s="5"/>
      <c r="T87" s="5"/>
      <c r="U87" s="5"/>
    </row>
    <row r="88" spans="1:21" ht="15.6" x14ac:dyDescent="0.3">
      <c r="B88" s="85"/>
      <c r="C88" s="51"/>
      <c r="D88" s="387" t="s">
        <v>495</v>
      </c>
      <c r="E88" s="51"/>
      <c r="F88" s="59"/>
      <c r="G88" s="59"/>
      <c r="H88" s="60"/>
      <c r="I88" s="60"/>
      <c r="J88" s="59"/>
      <c r="K88" s="59"/>
      <c r="L88" s="58"/>
      <c r="M88" s="58"/>
    </row>
    <row r="89" spans="1:21" ht="13.8" thickBot="1" x14ac:dyDescent="0.3">
      <c r="B89" s="171" t="s">
        <v>254</v>
      </c>
      <c r="C89" s="51"/>
      <c r="D89" s="51"/>
      <c r="E89" s="51"/>
      <c r="F89" s="53"/>
      <c r="G89" s="53"/>
      <c r="H89" s="52"/>
      <c r="I89" s="52"/>
      <c r="J89" s="58"/>
      <c r="K89" s="58"/>
      <c r="L89" s="58"/>
      <c r="M89" s="58"/>
    </row>
    <row r="90" spans="1:21" ht="13.8" thickBot="1" x14ac:dyDescent="0.3">
      <c r="B90" s="51"/>
      <c r="C90" s="51" t="s">
        <v>541</v>
      </c>
      <c r="D90" s="58"/>
      <c r="E90" s="51"/>
      <c r="F90" s="95">
        <v>2</v>
      </c>
      <c r="G90" s="53" t="s">
        <v>256</v>
      </c>
      <c r="H90" s="77">
        <v>18.8</v>
      </c>
      <c r="I90" s="52" t="s">
        <v>257</v>
      </c>
      <c r="J90" s="58">
        <f>F90*H90</f>
        <v>37.6</v>
      </c>
      <c r="K90" s="51" t="s">
        <v>57</v>
      </c>
      <c r="L90" s="58"/>
      <c r="M90" s="58"/>
    </row>
    <row r="91" spans="1:21" ht="13.8" thickBot="1" x14ac:dyDescent="0.3">
      <c r="B91" s="51"/>
      <c r="C91" s="51" t="s">
        <v>488</v>
      </c>
      <c r="D91" s="58"/>
      <c r="E91" s="51"/>
      <c r="F91" s="95">
        <v>0.1</v>
      </c>
      <c r="G91" s="53" t="s">
        <v>256</v>
      </c>
      <c r="H91" s="77">
        <v>39.200000000000003</v>
      </c>
      <c r="I91" s="52" t="s">
        <v>206</v>
      </c>
      <c r="J91" s="58">
        <f t="shared" ref="J91:J95" si="8">F91*H91</f>
        <v>3.9200000000000004</v>
      </c>
      <c r="K91" s="51" t="s">
        <v>57</v>
      </c>
      <c r="L91" s="58"/>
      <c r="M91" s="58"/>
    </row>
    <row r="92" spans="1:21" ht="13.8" thickBot="1" x14ac:dyDescent="0.3">
      <c r="B92" s="51"/>
      <c r="C92" s="51" t="s">
        <v>542</v>
      </c>
      <c r="D92" s="58"/>
      <c r="E92" s="51"/>
      <c r="F92" s="95">
        <v>0.3</v>
      </c>
      <c r="G92" s="53" t="s">
        <v>256</v>
      </c>
      <c r="H92" s="77">
        <v>48</v>
      </c>
      <c r="I92" s="52" t="s">
        <v>257</v>
      </c>
      <c r="J92" s="58">
        <f t="shared" si="8"/>
        <v>14.399999999999999</v>
      </c>
      <c r="K92" s="51" t="s">
        <v>57</v>
      </c>
      <c r="L92" s="58"/>
      <c r="M92" s="58"/>
    </row>
    <row r="93" spans="1:21" ht="13.8" thickBot="1" x14ac:dyDescent="0.3">
      <c r="B93" s="51"/>
      <c r="C93" s="51" t="s">
        <v>520</v>
      </c>
      <c r="D93" s="58"/>
      <c r="E93" s="51"/>
      <c r="F93" s="95"/>
      <c r="G93" s="53" t="s">
        <v>256</v>
      </c>
      <c r="H93" s="77"/>
      <c r="I93" s="52" t="s">
        <v>257</v>
      </c>
      <c r="J93" s="58">
        <f t="shared" si="8"/>
        <v>0</v>
      </c>
      <c r="K93" s="51" t="s">
        <v>57</v>
      </c>
      <c r="L93" s="58"/>
      <c r="M93" s="58"/>
    </row>
    <row r="94" spans="1:21" ht="13.8" thickBot="1" x14ac:dyDescent="0.3">
      <c r="B94" s="51"/>
      <c r="C94" s="51" t="s">
        <v>520</v>
      </c>
      <c r="D94" s="51"/>
      <c r="E94" s="51"/>
      <c r="F94" s="95"/>
      <c r="G94" s="53" t="s">
        <v>256</v>
      </c>
      <c r="H94" s="77"/>
      <c r="I94" s="52" t="s">
        <v>257</v>
      </c>
      <c r="J94" s="58">
        <f t="shared" si="8"/>
        <v>0</v>
      </c>
      <c r="K94" s="51" t="s">
        <v>57</v>
      </c>
      <c r="L94" s="58"/>
      <c r="M94" s="58"/>
    </row>
    <row r="95" spans="1:21" ht="13.8" thickBot="1" x14ac:dyDescent="0.3">
      <c r="B95" s="51"/>
      <c r="C95" s="51" t="s">
        <v>520</v>
      </c>
      <c r="D95" s="51"/>
      <c r="E95" s="51"/>
      <c r="F95" s="95"/>
      <c r="G95" s="53" t="s">
        <v>256</v>
      </c>
      <c r="H95" s="77"/>
      <c r="I95" s="52" t="s">
        <v>257</v>
      </c>
      <c r="J95" s="58">
        <f t="shared" si="8"/>
        <v>0</v>
      </c>
      <c r="K95" s="51" t="s">
        <v>57</v>
      </c>
      <c r="L95" s="58"/>
      <c r="M95" s="58"/>
    </row>
    <row r="96" spans="1:21" x14ac:dyDescent="0.25">
      <c r="B96" s="51"/>
      <c r="C96" s="51"/>
      <c r="D96" s="51"/>
      <c r="E96" s="51"/>
      <c r="F96" s="53"/>
      <c r="G96" s="53"/>
      <c r="H96" s="52"/>
      <c r="I96" s="52"/>
      <c r="J96" s="58"/>
      <c r="K96" s="51"/>
      <c r="L96" s="58"/>
      <c r="M96" s="58"/>
    </row>
    <row r="97" spans="1:13" ht="13.8" thickBot="1" x14ac:dyDescent="0.3">
      <c r="B97" s="171" t="s">
        <v>266</v>
      </c>
      <c r="C97" s="51"/>
      <c r="D97" s="51"/>
      <c r="E97" s="51"/>
      <c r="F97" s="53"/>
      <c r="G97" s="53"/>
      <c r="H97" s="52"/>
      <c r="I97" s="52"/>
      <c r="J97" s="58"/>
      <c r="K97" s="51"/>
      <c r="L97" s="58"/>
      <c r="M97" s="58"/>
    </row>
    <row r="98" spans="1:13" ht="13.8" thickBot="1" x14ac:dyDescent="0.3">
      <c r="B98" s="51"/>
      <c r="C98" s="51" t="s">
        <v>521</v>
      </c>
      <c r="D98" s="51"/>
      <c r="E98" s="51"/>
      <c r="F98" s="95"/>
      <c r="G98" s="53" t="s">
        <v>256</v>
      </c>
      <c r="H98" s="95"/>
      <c r="I98" s="52" t="s">
        <v>257</v>
      </c>
      <c r="J98" s="58">
        <f t="shared" ref="J98:J101" si="9">F98*H98</f>
        <v>0</v>
      </c>
      <c r="K98" s="51" t="s">
        <v>57</v>
      </c>
      <c r="L98" s="58"/>
      <c r="M98" s="58"/>
    </row>
    <row r="99" spans="1:13" ht="13.8" thickBot="1" x14ac:dyDescent="0.3">
      <c r="B99" s="51"/>
      <c r="C99" s="51" t="s">
        <v>521</v>
      </c>
      <c r="D99" s="51"/>
      <c r="E99" s="51"/>
      <c r="F99" s="95"/>
      <c r="G99" s="53" t="s">
        <v>256</v>
      </c>
      <c r="H99" s="95"/>
      <c r="I99" s="52" t="s">
        <v>257</v>
      </c>
      <c r="J99" s="58">
        <f t="shared" si="9"/>
        <v>0</v>
      </c>
      <c r="K99" s="51" t="s">
        <v>57</v>
      </c>
      <c r="L99" s="58"/>
      <c r="M99" s="58"/>
    </row>
    <row r="100" spans="1:13" ht="13.8" thickBot="1" x14ac:dyDescent="0.3">
      <c r="B100" s="51"/>
      <c r="C100" s="51" t="s">
        <v>521</v>
      </c>
      <c r="D100" s="51"/>
      <c r="E100" s="51"/>
      <c r="F100" s="95"/>
      <c r="G100" s="53" t="s">
        <v>256</v>
      </c>
      <c r="H100" s="95"/>
      <c r="I100" s="52" t="s">
        <v>257</v>
      </c>
      <c r="J100" s="58">
        <f t="shared" si="9"/>
        <v>0</v>
      </c>
      <c r="K100" s="51" t="s">
        <v>57</v>
      </c>
      <c r="L100" s="58"/>
      <c r="M100" s="58"/>
    </row>
    <row r="101" spans="1:13" ht="13.8" thickBot="1" x14ac:dyDescent="0.3">
      <c r="B101" s="51"/>
      <c r="C101" s="51" t="s">
        <v>521</v>
      </c>
      <c r="D101" s="51"/>
      <c r="E101" s="51"/>
      <c r="F101" s="95"/>
      <c r="G101" s="53" t="s">
        <v>256</v>
      </c>
      <c r="H101" s="95"/>
      <c r="I101" s="52" t="s">
        <v>257</v>
      </c>
      <c r="J101" s="58">
        <f t="shared" si="9"/>
        <v>0</v>
      </c>
      <c r="K101" s="51" t="s">
        <v>57</v>
      </c>
      <c r="L101" s="58"/>
      <c r="M101" s="58"/>
    </row>
    <row r="102" spans="1:13" s="5" customFormat="1" x14ac:dyDescent="0.25">
      <c r="A102" s="478"/>
      <c r="B102" s="195"/>
      <c r="C102" s="195" t="s">
        <v>54</v>
      </c>
      <c r="D102" s="195"/>
      <c r="E102" s="195"/>
      <c r="F102" s="196"/>
      <c r="G102" s="196"/>
      <c r="H102" s="196"/>
      <c r="I102" s="197"/>
      <c r="J102" s="197">
        <f>SUM(J90:J101)</f>
        <v>55.92</v>
      </c>
      <c r="K102" s="195" t="s">
        <v>57</v>
      </c>
      <c r="L102" s="195"/>
      <c r="M102" s="195"/>
    </row>
    <row r="103" spans="1:13" x14ac:dyDescent="0.25">
      <c r="B103" s="51"/>
      <c r="C103" s="51"/>
      <c r="D103" s="51"/>
      <c r="E103" s="51"/>
      <c r="F103" s="53"/>
      <c r="G103" s="53"/>
      <c r="H103" s="52"/>
      <c r="I103" s="52"/>
      <c r="J103" s="58"/>
      <c r="K103" s="51"/>
      <c r="L103" s="58"/>
      <c r="M103" s="58"/>
    </row>
    <row r="104" spans="1:13" x14ac:dyDescent="0.25">
      <c r="A104" s="483"/>
    </row>
    <row r="105" spans="1:13" ht="15.6" x14ac:dyDescent="0.3">
      <c r="A105" s="483"/>
      <c r="B105" s="86" t="s">
        <v>367</v>
      </c>
      <c r="C105" s="61"/>
      <c r="D105" s="61"/>
      <c r="E105" s="61"/>
      <c r="F105" s="1071" t="s">
        <v>114</v>
      </c>
      <c r="G105" s="1071"/>
      <c r="H105" s="1071" t="s">
        <v>113</v>
      </c>
      <c r="I105" s="1071"/>
      <c r="J105" s="1071" t="s">
        <v>243</v>
      </c>
      <c r="K105" s="1071"/>
      <c r="L105" s="63"/>
      <c r="M105" s="63"/>
    </row>
    <row r="106" spans="1:13" ht="13.8" thickBot="1" x14ac:dyDescent="0.3">
      <c r="A106" s="483"/>
      <c r="B106" s="61"/>
      <c r="C106" s="61"/>
      <c r="D106" s="61"/>
      <c r="E106" s="61"/>
      <c r="F106" s="61"/>
      <c r="G106" s="61"/>
      <c r="H106" s="62"/>
      <c r="I106" s="62"/>
      <c r="J106" s="63"/>
      <c r="K106" s="63"/>
      <c r="L106" s="63"/>
      <c r="M106" s="63"/>
    </row>
    <row r="107" spans="1:13" ht="13.8" thickBot="1" x14ac:dyDescent="0.3">
      <c r="A107" s="483"/>
      <c r="B107" s="61"/>
      <c r="C107" s="61" t="s">
        <v>368</v>
      </c>
      <c r="D107" s="63"/>
      <c r="E107" s="61"/>
      <c r="F107" s="388">
        <f>S10*'Gårdens info'!$G$20/1</f>
        <v>0</v>
      </c>
      <c r="G107" s="61" t="s">
        <v>31</v>
      </c>
      <c r="H107" s="77">
        <v>0.01</v>
      </c>
      <c r="I107" s="62" t="s">
        <v>246</v>
      </c>
      <c r="J107" s="64">
        <f>F107*H107</f>
        <v>0</v>
      </c>
      <c r="K107" s="61" t="s">
        <v>57</v>
      </c>
      <c r="L107" s="63"/>
      <c r="M107" s="63"/>
    </row>
    <row r="108" spans="1:13" ht="13.8" thickBot="1" x14ac:dyDescent="0.3">
      <c r="A108" s="483"/>
      <c r="B108" s="61"/>
      <c r="C108" s="61" t="s">
        <v>369</v>
      </c>
      <c r="D108" s="63"/>
      <c r="E108" s="61"/>
      <c r="F108" s="388">
        <f>S11*'Gårdens info'!$G$20/1</f>
        <v>0</v>
      </c>
      <c r="G108" s="61" t="s">
        <v>31</v>
      </c>
      <c r="H108" s="77">
        <v>0.01</v>
      </c>
      <c r="I108" s="62" t="s">
        <v>246</v>
      </c>
      <c r="J108" s="64">
        <f t="shared" ref="J108:J114" si="10">F108*H108</f>
        <v>0</v>
      </c>
      <c r="K108" s="61" t="s">
        <v>57</v>
      </c>
      <c r="L108" s="63"/>
      <c r="M108" s="63"/>
    </row>
    <row r="109" spans="1:13" ht="13.8" thickBot="1" x14ac:dyDescent="0.3">
      <c r="A109" s="483"/>
      <c r="B109" s="61"/>
      <c r="C109" s="61" t="s">
        <v>270</v>
      </c>
      <c r="D109" s="63"/>
      <c r="E109" s="61"/>
      <c r="F109" s="388">
        <f>S12*'Gårdens info'!$G$20/1</f>
        <v>0</v>
      </c>
      <c r="G109" s="61" t="s">
        <v>31</v>
      </c>
      <c r="H109" s="77">
        <v>0.01</v>
      </c>
      <c r="I109" s="62" t="s">
        <v>246</v>
      </c>
      <c r="J109" s="64">
        <f t="shared" si="10"/>
        <v>0</v>
      </c>
      <c r="K109" s="61" t="s">
        <v>57</v>
      </c>
      <c r="L109" s="63"/>
      <c r="M109" s="63"/>
    </row>
    <row r="110" spans="1:13" ht="13.8" thickBot="1" x14ac:dyDescent="0.3">
      <c r="A110" s="483"/>
      <c r="B110" s="61"/>
      <c r="C110" s="61" t="s">
        <v>271</v>
      </c>
      <c r="D110" s="63"/>
      <c r="E110" s="61"/>
      <c r="F110" s="388">
        <f>S13*'Gårdens info'!$G$20/1</f>
        <v>0</v>
      </c>
      <c r="G110" s="61" t="s">
        <v>31</v>
      </c>
      <c r="H110" s="77">
        <v>0.05</v>
      </c>
      <c r="I110" s="62" t="s">
        <v>246</v>
      </c>
      <c r="J110" s="64">
        <f t="shared" si="10"/>
        <v>0</v>
      </c>
      <c r="K110" s="61" t="s">
        <v>57</v>
      </c>
      <c r="L110" s="63"/>
      <c r="M110" s="63"/>
    </row>
    <row r="111" spans="1:13" ht="13.8" thickBot="1" x14ac:dyDescent="0.3">
      <c r="A111" s="483"/>
      <c r="B111" s="61"/>
      <c r="C111" s="77" t="s">
        <v>523</v>
      </c>
      <c r="D111" s="77"/>
      <c r="E111" s="61" t="s">
        <v>212</v>
      </c>
      <c r="F111" s="388">
        <f>IF(S14&gt;0,S14*'Gårdens info'!$G$20/D111,0)</f>
        <v>0</v>
      </c>
      <c r="G111" s="61" t="s">
        <v>31</v>
      </c>
      <c r="H111" s="77"/>
      <c r="I111" s="62" t="s">
        <v>246</v>
      </c>
      <c r="J111" s="64">
        <f t="shared" ref="J111:J113" si="11">F111*H111</f>
        <v>0</v>
      </c>
      <c r="K111" s="61" t="s">
        <v>57</v>
      </c>
      <c r="L111" s="63"/>
      <c r="M111" s="63"/>
    </row>
    <row r="112" spans="1:13" ht="13.8" thickBot="1" x14ac:dyDescent="0.3">
      <c r="A112" s="483"/>
      <c r="B112" s="61"/>
      <c r="C112" s="77" t="s">
        <v>523</v>
      </c>
      <c r="D112" s="77"/>
      <c r="E112" s="61" t="s">
        <v>212</v>
      </c>
      <c r="F112" s="388">
        <f>IF(S15&gt;0,S15*'Gårdens info'!$G$20/D112,0)</f>
        <v>0</v>
      </c>
      <c r="G112" s="61" t="s">
        <v>31</v>
      </c>
      <c r="H112" s="77"/>
      <c r="I112" s="62" t="s">
        <v>246</v>
      </c>
      <c r="J112" s="64">
        <f t="shared" si="11"/>
        <v>0</v>
      </c>
      <c r="K112" s="61" t="s">
        <v>57</v>
      </c>
      <c r="L112" s="63"/>
      <c r="M112" s="63"/>
    </row>
    <row r="113" spans="1:21" ht="13.8" thickBot="1" x14ac:dyDescent="0.3">
      <c r="A113" s="483"/>
      <c r="B113" s="61"/>
      <c r="C113" s="77" t="s">
        <v>523</v>
      </c>
      <c r="D113" s="77"/>
      <c r="E113" s="61" t="s">
        <v>212</v>
      </c>
      <c r="F113" s="388">
        <f>IF(S16&gt;0,S16*'Gårdens info'!$G$20/D113,0)</f>
        <v>0</v>
      </c>
      <c r="G113" s="61" t="s">
        <v>31</v>
      </c>
      <c r="H113" s="77"/>
      <c r="I113" s="62" t="s">
        <v>246</v>
      </c>
      <c r="J113" s="64">
        <f t="shared" si="11"/>
        <v>0</v>
      </c>
      <c r="K113" s="61" t="s">
        <v>57</v>
      </c>
      <c r="L113" s="63"/>
      <c r="M113" s="63"/>
    </row>
    <row r="114" spans="1:21" ht="13.8" thickBot="1" x14ac:dyDescent="0.3">
      <c r="A114" s="483"/>
      <c r="B114" s="61"/>
      <c r="C114" s="77" t="s">
        <v>523</v>
      </c>
      <c r="D114" s="77"/>
      <c r="E114" s="61" t="s">
        <v>212</v>
      </c>
      <c r="F114" s="388">
        <f>IF(S17&gt;0,S17*'Gårdens info'!$G$20/D114,0)</f>
        <v>0</v>
      </c>
      <c r="G114" s="61" t="s">
        <v>31</v>
      </c>
      <c r="H114" s="77"/>
      <c r="I114" s="62" t="s">
        <v>246</v>
      </c>
      <c r="J114" s="64">
        <f t="shared" si="10"/>
        <v>0</v>
      </c>
      <c r="K114" s="61" t="s">
        <v>57</v>
      </c>
      <c r="L114" s="63"/>
      <c r="M114" s="63"/>
    </row>
    <row r="115" spans="1:21" x14ac:dyDescent="0.25">
      <c r="A115" s="483"/>
      <c r="B115" s="198"/>
      <c r="C115" s="198" t="s">
        <v>54</v>
      </c>
      <c r="D115" s="198"/>
      <c r="E115" s="198"/>
      <c r="F115" s="198"/>
      <c r="G115" s="198"/>
      <c r="H115" s="199"/>
      <c r="I115" s="199"/>
      <c r="J115" s="200">
        <f>SUM(J107:J114)</f>
        <v>0</v>
      </c>
      <c r="K115" s="198" t="s">
        <v>57</v>
      </c>
      <c r="L115" s="198"/>
      <c r="M115" s="198"/>
    </row>
    <row r="116" spans="1:21" x14ac:dyDescent="0.25">
      <c r="A116" s="483"/>
      <c r="B116" s="61"/>
      <c r="C116" s="61"/>
      <c r="D116" s="61"/>
      <c r="E116" s="61"/>
      <c r="F116" s="61"/>
      <c r="G116" s="61"/>
      <c r="H116" s="62"/>
      <c r="I116" s="62"/>
      <c r="J116" s="64"/>
      <c r="K116" s="61"/>
      <c r="L116" s="63"/>
      <c r="M116" s="63"/>
    </row>
    <row r="117" spans="1:21" x14ac:dyDescent="0.25">
      <c r="A117" s="483"/>
    </row>
    <row r="118" spans="1:21" s="5" customFormat="1" ht="15.6" x14ac:dyDescent="0.3">
      <c r="A118" s="645"/>
      <c r="B118" s="87" t="s">
        <v>273</v>
      </c>
      <c r="C118" s="65"/>
      <c r="D118" s="65"/>
      <c r="E118" s="65"/>
      <c r="F118" s="1072" t="s">
        <v>114</v>
      </c>
      <c r="G118" s="1072"/>
      <c r="H118" s="1072" t="s">
        <v>113</v>
      </c>
      <c r="I118" s="1072"/>
      <c r="J118" s="1072" t="s">
        <v>243</v>
      </c>
      <c r="K118" s="1072"/>
      <c r="L118" s="67"/>
      <c r="M118" s="67"/>
      <c r="N118"/>
      <c r="O118"/>
      <c r="P118"/>
      <c r="Q118"/>
      <c r="R118"/>
      <c r="S118"/>
      <c r="T118"/>
      <c r="U118"/>
    </row>
    <row r="119" spans="1:21" ht="13.8" thickBot="1" x14ac:dyDescent="0.3">
      <c r="A119" s="483"/>
      <c r="B119" s="65"/>
      <c r="C119" s="65"/>
      <c r="D119" s="65"/>
      <c r="E119" s="65"/>
      <c r="F119" s="65"/>
      <c r="G119" s="65"/>
      <c r="H119" s="66"/>
      <c r="I119" s="66"/>
      <c r="J119" s="67"/>
      <c r="K119" s="67"/>
      <c r="L119" s="67"/>
      <c r="M119" s="67"/>
    </row>
    <row r="120" spans="1:21" ht="13.8" thickBot="1" x14ac:dyDescent="0.3">
      <c r="A120" s="483"/>
      <c r="B120" s="65"/>
      <c r="C120" s="65" t="s">
        <v>222</v>
      </c>
      <c r="D120" s="67"/>
      <c r="E120" s="65"/>
      <c r="F120" s="74">
        <f>'Gårdens info'!G20*'Gårdens info'!D20*0.9</f>
        <v>0</v>
      </c>
      <c r="G120" s="65" t="s">
        <v>212</v>
      </c>
      <c r="H120" s="77">
        <v>0.02</v>
      </c>
      <c r="I120" s="66" t="s">
        <v>206</v>
      </c>
      <c r="J120" s="68">
        <f t="shared" ref="J120:J122" si="12">F120*H120</f>
        <v>0</v>
      </c>
      <c r="K120" s="65" t="s">
        <v>57</v>
      </c>
      <c r="L120" s="67"/>
      <c r="M120" s="67"/>
      <c r="N120" s="5"/>
      <c r="O120" s="5"/>
      <c r="P120" s="5"/>
      <c r="Q120" s="5"/>
      <c r="R120" s="5"/>
      <c r="S120" s="5"/>
      <c r="T120" s="5"/>
      <c r="U120" s="5"/>
    </row>
    <row r="121" spans="1:21" ht="13.8" thickBot="1" x14ac:dyDescent="0.3">
      <c r="A121" s="483"/>
      <c r="B121" s="65"/>
      <c r="C121" s="65" t="s">
        <v>372</v>
      </c>
      <c r="D121" s="65"/>
      <c r="E121" s="65"/>
      <c r="F121" s="74"/>
      <c r="G121" s="65" t="s">
        <v>212</v>
      </c>
      <c r="H121" s="77"/>
      <c r="I121" s="66" t="s">
        <v>206</v>
      </c>
      <c r="J121" s="68">
        <f t="shared" si="12"/>
        <v>0</v>
      </c>
      <c r="K121" s="65" t="s">
        <v>57</v>
      </c>
      <c r="L121" s="67"/>
      <c r="M121" s="67"/>
    </row>
    <row r="122" spans="1:21" ht="13.8" thickBot="1" x14ac:dyDescent="0.3">
      <c r="A122" s="483"/>
      <c r="B122" s="65"/>
      <c r="C122" s="65" t="s">
        <v>372</v>
      </c>
      <c r="D122" s="65"/>
      <c r="E122" s="65"/>
      <c r="F122" s="74"/>
      <c r="G122" s="65" t="s">
        <v>212</v>
      </c>
      <c r="H122" s="77"/>
      <c r="I122" s="66" t="s">
        <v>206</v>
      </c>
      <c r="J122" s="68">
        <f t="shared" si="12"/>
        <v>0</v>
      </c>
      <c r="K122" s="65" t="s">
        <v>57</v>
      </c>
      <c r="L122" s="67"/>
      <c r="M122" s="67"/>
    </row>
    <row r="123" spans="1:21" x14ac:dyDescent="0.25">
      <c r="A123" s="483"/>
      <c r="B123" s="201"/>
      <c r="C123" s="201" t="s">
        <v>54</v>
      </c>
      <c r="D123" s="201"/>
      <c r="E123" s="201"/>
      <c r="F123" s="201"/>
      <c r="G123" s="201"/>
      <c r="H123" s="202"/>
      <c r="I123" s="202"/>
      <c r="J123" s="203">
        <f>SUM(J120:J122)</f>
        <v>0</v>
      </c>
      <c r="K123" s="201" t="s">
        <v>57</v>
      </c>
      <c r="L123" s="201"/>
      <c r="M123" s="201"/>
    </row>
    <row r="124" spans="1:21" x14ac:dyDescent="0.25">
      <c r="A124" s="483"/>
      <c r="B124" s="65"/>
      <c r="C124" s="65"/>
      <c r="D124" s="65"/>
      <c r="E124" s="65"/>
      <c r="F124" s="65"/>
      <c r="G124" s="65"/>
      <c r="H124" s="66"/>
      <c r="I124" s="66"/>
      <c r="J124" s="68"/>
      <c r="K124" s="65"/>
      <c r="L124" s="67"/>
      <c r="M124" s="67"/>
    </row>
    <row r="125" spans="1:21" x14ac:dyDescent="0.25">
      <c r="A125" s="483"/>
    </row>
    <row r="126" spans="1:21" ht="15.6" x14ac:dyDescent="0.3">
      <c r="A126" s="483"/>
      <c r="B126" s="176" t="s">
        <v>275</v>
      </c>
      <c r="C126" s="177"/>
      <c r="D126" s="177"/>
      <c r="E126" s="177"/>
      <c r="F126" s="1067" t="s">
        <v>114</v>
      </c>
      <c r="G126" s="1067"/>
      <c r="H126" s="1067" t="s">
        <v>113</v>
      </c>
      <c r="I126" s="1067"/>
      <c r="J126" s="1067" t="s">
        <v>243</v>
      </c>
      <c r="K126" s="1067"/>
      <c r="L126" s="179"/>
      <c r="M126" s="179"/>
    </row>
    <row r="127" spans="1:21" ht="13.8" thickBot="1" x14ac:dyDescent="0.3">
      <c r="A127" s="483"/>
      <c r="B127" s="177"/>
      <c r="C127" s="177"/>
      <c r="D127" s="177"/>
      <c r="E127" s="177"/>
      <c r="F127" s="177"/>
      <c r="G127" s="177"/>
      <c r="H127" s="178"/>
      <c r="I127" s="178"/>
      <c r="J127" s="179"/>
      <c r="K127" s="179"/>
      <c r="L127" s="179"/>
      <c r="M127" s="179"/>
    </row>
    <row r="128" spans="1:21" ht="13.8" thickBot="1" x14ac:dyDescent="0.3">
      <c r="A128" s="483"/>
      <c r="B128" s="177"/>
      <c r="C128" s="177" t="s">
        <v>276</v>
      </c>
      <c r="D128" s="179"/>
      <c r="E128" s="177"/>
      <c r="F128" s="74"/>
      <c r="G128" s="177" t="s">
        <v>7</v>
      </c>
      <c r="H128" s="77"/>
      <c r="I128" s="178" t="s">
        <v>57</v>
      </c>
      <c r="J128" s="180">
        <f t="shared" ref="J128:J130" si="13">F128*H128</f>
        <v>0</v>
      </c>
      <c r="K128" s="177" t="s">
        <v>57</v>
      </c>
      <c r="L128" s="179"/>
      <c r="M128" s="179"/>
    </row>
    <row r="129" spans="1:21" ht="13.8" thickBot="1" x14ac:dyDescent="0.3">
      <c r="B129" s="177"/>
      <c r="C129" s="177" t="s">
        <v>276</v>
      </c>
      <c r="D129" s="177"/>
      <c r="E129" s="177"/>
      <c r="F129" s="74"/>
      <c r="G129" s="177" t="s">
        <v>7</v>
      </c>
      <c r="H129" s="77"/>
      <c r="I129" s="178" t="s">
        <v>57</v>
      </c>
      <c r="J129" s="180">
        <f t="shared" si="13"/>
        <v>0</v>
      </c>
      <c r="K129" s="177" t="s">
        <v>57</v>
      </c>
      <c r="L129" s="179"/>
      <c r="M129" s="179"/>
    </row>
    <row r="130" spans="1:21" ht="13.8" thickBot="1" x14ac:dyDescent="0.3">
      <c r="B130" s="177"/>
      <c r="C130" s="177" t="s">
        <v>276</v>
      </c>
      <c r="D130" s="177"/>
      <c r="E130" s="177"/>
      <c r="F130" s="74"/>
      <c r="G130" s="177" t="s">
        <v>7</v>
      </c>
      <c r="H130" s="77"/>
      <c r="I130" s="178" t="s">
        <v>57</v>
      </c>
      <c r="J130" s="180">
        <f t="shared" si="13"/>
        <v>0</v>
      </c>
      <c r="K130" s="177" t="s">
        <v>57</v>
      </c>
      <c r="L130" s="179"/>
      <c r="M130" s="179"/>
    </row>
    <row r="131" spans="1:21" s="5" customFormat="1" x14ac:dyDescent="0.25">
      <c r="A131" s="478"/>
      <c r="B131" s="204"/>
      <c r="C131" s="204" t="s">
        <v>54</v>
      </c>
      <c r="D131" s="204"/>
      <c r="E131" s="204"/>
      <c r="F131" s="204"/>
      <c r="G131" s="204"/>
      <c r="H131" s="205"/>
      <c r="I131" s="205"/>
      <c r="J131" s="206">
        <f>SUM(J128:J130)</f>
        <v>0</v>
      </c>
      <c r="K131" s="204" t="s">
        <v>57</v>
      </c>
      <c r="L131" s="204"/>
      <c r="M131" s="204"/>
      <c r="N131"/>
      <c r="O131"/>
      <c r="P131"/>
      <c r="Q131"/>
      <c r="R131"/>
      <c r="S131"/>
      <c r="T131"/>
      <c r="U131"/>
    </row>
    <row r="132" spans="1:21" x14ac:dyDescent="0.25">
      <c r="B132" s="177"/>
      <c r="C132" s="177"/>
      <c r="D132" s="177"/>
      <c r="E132" s="177"/>
      <c r="F132" s="177"/>
      <c r="G132" s="177"/>
      <c r="H132" s="178"/>
      <c r="I132" s="178"/>
      <c r="J132" s="180"/>
      <c r="K132" s="177"/>
      <c r="L132" s="179"/>
      <c r="M132" s="179"/>
    </row>
    <row r="133" spans="1:21" ht="30" customHeight="1" x14ac:dyDescent="0.25">
      <c r="N133" s="5"/>
      <c r="O133" s="5"/>
      <c r="P133" s="5"/>
      <c r="Q133" s="5"/>
      <c r="R133" s="5"/>
      <c r="S133" s="5"/>
      <c r="T133" s="5"/>
      <c r="U133" s="5"/>
    </row>
    <row r="134" spans="1:21" ht="15.6" x14ac:dyDescent="0.3">
      <c r="B134" s="181" t="s">
        <v>490</v>
      </c>
      <c r="C134" s="182"/>
      <c r="D134" s="182"/>
      <c r="E134" s="183"/>
      <c r="F134" s="182" t="s">
        <v>114</v>
      </c>
      <c r="G134" s="184"/>
      <c r="H134" s="184" t="s">
        <v>113</v>
      </c>
      <c r="I134" s="182"/>
      <c r="J134" s="182"/>
      <c r="K134" s="185"/>
      <c r="L134" s="185"/>
      <c r="M134" s="185"/>
    </row>
    <row r="135" spans="1:21" ht="16.2" thickBot="1" x14ac:dyDescent="0.35">
      <c r="B135" s="181"/>
      <c r="C135" s="182"/>
      <c r="D135" s="182"/>
      <c r="E135" s="183"/>
      <c r="F135" s="182"/>
      <c r="G135" s="184"/>
      <c r="H135" s="184"/>
      <c r="I135" s="182"/>
      <c r="J135" s="182"/>
      <c r="K135" s="185"/>
      <c r="L135" s="185"/>
      <c r="M135" s="185"/>
    </row>
    <row r="136" spans="1:21" ht="13.8" thickBot="1" x14ac:dyDescent="0.3">
      <c r="B136" s="182"/>
      <c r="C136" s="182" t="s">
        <v>278</v>
      </c>
      <c r="D136" s="185"/>
      <c r="E136" s="186"/>
      <c r="F136" s="74">
        <v>10500</v>
      </c>
      <c r="G136" s="187" t="s">
        <v>279</v>
      </c>
      <c r="H136" s="74">
        <v>0.15</v>
      </c>
      <c r="I136" s="188" t="s">
        <v>280</v>
      </c>
      <c r="J136" s="185">
        <f>H136*F136</f>
        <v>1575</v>
      </c>
      <c r="K136" s="188" t="s">
        <v>57</v>
      </c>
      <c r="L136" s="185"/>
      <c r="M136" s="185"/>
    </row>
    <row r="137" spans="1:21" ht="13.8" thickBot="1" x14ac:dyDescent="0.3">
      <c r="B137" s="182"/>
      <c r="C137" s="182" t="s">
        <v>281</v>
      </c>
      <c r="D137" s="188">
        <f>F169/2</f>
        <v>72</v>
      </c>
      <c r="E137" s="182" t="s">
        <v>282</v>
      </c>
      <c r="F137" s="74">
        <f>+D137*8</f>
        <v>576</v>
      </c>
      <c r="G137" s="184" t="s">
        <v>256</v>
      </c>
      <c r="H137" s="74">
        <v>0.83</v>
      </c>
      <c r="I137" s="188" t="s">
        <v>257</v>
      </c>
      <c r="J137" s="185">
        <f>H137*F137</f>
        <v>478.08</v>
      </c>
      <c r="K137" s="188" t="s">
        <v>57</v>
      </c>
      <c r="L137" s="185"/>
      <c r="M137" s="185"/>
    </row>
    <row r="138" spans="1:21" ht="13.8" thickBot="1" x14ac:dyDescent="0.3">
      <c r="B138" s="182"/>
      <c r="C138" s="182" t="s">
        <v>283</v>
      </c>
      <c r="D138" s="188">
        <f>D137</f>
        <v>72</v>
      </c>
      <c r="E138" s="182" t="s">
        <v>282</v>
      </c>
      <c r="F138" s="74">
        <v>11.88</v>
      </c>
      <c r="G138" s="184" t="s">
        <v>212</v>
      </c>
      <c r="H138" s="74">
        <v>4</v>
      </c>
      <c r="I138" s="188" t="s">
        <v>206</v>
      </c>
      <c r="J138" s="185">
        <f t="shared" ref="J138:J142" si="14">H138*F138</f>
        <v>47.52</v>
      </c>
      <c r="K138" s="188" t="s">
        <v>57</v>
      </c>
      <c r="L138" s="185"/>
      <c r="M138" s="185"/>
    </row>
    <row r="139" spans="1:21" ht="13.8" thickBot="1" x14ac:dyDescent="0.3">
      <c r="B139" s="182"/>
      <c r="C139" s="182" t="s">
        <v>284</v>
      </c>
      <c r="D139" s="185"/>
      <c r="E139" s="188"/>
      <c r="F139" s="74">
        <v>200</v>
      </c>
      <c r="G139" s="184" t="s">
        <v>256</v>
      </c>
      <c r="H139" s="74">
        <v>1.53</v>
      </c>
      <c r="I139" s="188" t="s">
        <v>257</v>
      </c>
      <c r="J139" s="185">
        <f t="shared" si="14"/>
        <v>306</v>
      </c>
      <c r="K139" s="188" t="s">
        <v>57</v>
      </c>
      <c r="L139" s="185"/>
      <c r="M139" s="185"/>
    </row>
    <row r="140" spans="1:21" ht="13.8" thickBot="1" x14ac:dyDescent="0.3">
      <c r="B140" s="182"/>
      <c r="C140" s="182" t="s">
        <v>285</v>
      </c>
      <c r="D140" s="185"/>
      <c r="E140" s="188"/>
      <c r="F140" s="74"/>
      <c r="G140" s="184" t="s">
        <v>256</v>
      </c>
      <c r="H140" s="74"/>
      <c r="I140" s="188" t="s">
        <v>257</v>
      </c>
      <c r="J140" s="185">
        <f t="shared" si="14"/>
        <v>0</v>
      </c>
      <c r="K140" s="188" t="s">
        <v>57</v>
      </c>
      <c r="L140" s="185"/>
      <c r="M140" s="185"/>
    </row>
    <row r="141" spans="1:21" ht="13.8" thickBot="1" x14ac:dyDescent="0.3">
      <c r="B141" s="182"/>
      <c r="C141" s="182" t="s">
        <v>286</v>
      </c>
      <c r="D141" s="185"/>
      <c r="E141" s="188"/>
      <c r="F141" s="74"/>
      <c r="G141" s="184"/>
      <c r="H141" s="74"/>
      <c r="I141" s="188"/>
      <c r="J141" s="185">
        <f t="shared" si="14"/>
        <v>0</v>
      </c>
      <c r="K141" s="188" t="s">
        <v>57</v>
      </c>
      <c r="L141" s="185"/>
      <c r="M141" s="185"/>
    </row>
    <row r="142" spans="1:21" ht="13.8" thickBot="1" x14ac:dyDescent="0.3">
      <c r="B142" s="185"/>
      <c r="C142" s="182" t="s">
        <v>286</v>
      </c>
      <c r="D142" s="185"/>
      <c r="E142" s="185"/>
      <c r="F142" s="74"/>
      <c r="G142" s="185"/>
      <c r="H142" s="74"/>
      <c r="I142" s="185"/>
      <c r="J142" s="185">
        <f t="shared" si="14"/>
        <v>0</v>
      </c>
      <c r="K142" s="188" t="s">
        <v>57</v>
      </c>
      <c r="L142" s="185"/>
      <c r="M142" s="185"/>
    </row>
    <row r="143" spans="1:21" s="5" customFormat="1" x14ac:dyDescent="0.25">
      <c r="A143" s="478"/>
      <c r="B143" s="207"/>
      <c r="C143" s="207" t="s">
        <v>54</v>
      </c>
      <c r="D143" s="207"/>
      <c r="E143" s="207"/>
      <c r="F143" s="207"/>
      <c r="G143" s="207"/>
      <c r="H143" s="207"/>
      <c r="I143" s="207"/>
      <c r="J143" s="207">
        <f>SUM(J136:J142)</f>
        <v>2406.6</v>
      </c>
      <c r="K143" s="208" t="s">
        <v>57</v>
      </c>
      <c r="L143" s="207"/>
      <c r="M143" s="207"/>
    </row>
    <row r="144" spans="1:21" x14ac:dyDescent="0.25">
      <c r="B144" s="185"/>
      <c r="C144" s="185"/>
      <c r="D144" s="185"/>
      <c r="E144" s="185"/>
      <c r="F144" s="185"/>
      <c r="G144" s="185"/>
      <c r="H144" s="185"/>
      <c r="I144" s="185"/>
      <c r="J144" s="185"/>
      <c r="K144" s="185"/>
      <c r="L144" s="185"/>
      <c r="M144" s="185"/>
    </row>
    <row r="146" spans="1:21" ht="15.6" x14ac:dyDescent="0.3">
      <c r="B146" s="88" t="s">
        <v>287</v>
      </c>
      <c r="C146" s="79"/>
      <c r="D146" s="79"/>
      <c r="E146" s="79"/>
      <c r="F146" s="79"/>
      <c r="G146" s="79"/>
      <c r="H146" s="79"/>
      <c r="I146" s="79"/>
      <c r="J146" s="79"/>
      <c r="K146" s="79"/>
      <c r="L146" s="79"/>
      <c r="M146" s="79"/>
    </row>
    <row r="147" spans="1:21" ht="15.6" x14ac:dyDescent="0.3">
      <c r="B147" s="88"/>
      <c r="C147" s="79"/>
      <c r="D147" s="79"/>
      <c r="E147" s="79"/>
      <c r="F147" s="79"/>
      <c r="G147" s="79"/>
      <c r="H147" s="79"/>
      <c r="I147" s="79"/>
      <c r="J147" s="79"/>
      <c r="K147" s="79"/>
      <c r="L147" s="79"/>
      <c r="M147" s="79"/>
    </row>
    <row r="148" spans="1:21" ht="15" customHeight="1" x14ac:dyDescent="0.25">
      <c r="B148" s="1112" t="s">
        <v>499</v>
      </c>
      <c r="C148" s="1112"/>
      <c r="D148" s="1112"/>
      <c r="E148" s="1112"/>
      <c r="F148" s="1112"/>
      <c r="G148" s="1112"/>
      <c r="H148" s="1112"/>
      <c r="I148" s="1112"/>
      <c r="J148" s="1112"/>
      <c r="K148" s="1112"/>
      <c r="L148" s="1112"/>
      <c r="M148" s="1112"/>
    </row>
    <row r="149" spans="1:21" s="5" customFormat="1" x14ac:dyDescent="0.25">
      <c r="A149" s="478"/>
      <c r="B149" s="1112"/>
      <c r="C149" s="1112"/>
      <c r="D149" s="1112"/>
      <c r="E149" s="1112"/>
      <c r="F149" s="1112"/>
      <c r="G149" s="1112"/>
      <c r="H149" s="1112"/>
      <c r="I149" s="1112"/>
      <c r="J149" s="1112"/>
      <c r="K149" s="1112"/>
      <c r="L149" s="1112"/>
      <c r="M149" s="1112"/>
      <c r="N149"/>
      <c r="O149"/>
      <c r="P149"/>
      <c r="Q149"/>
      <c r="R149"/>
      <c r="S149"/>
      <c r="T149"/>
      <c r="U149"/>
    </row>
    <row r="150" spans="1:21" ht="15.6" x14ac:dyDescent="0.3">
      <c r="B150" s="88"/>
      <c r="C150" s="79"/>
      <c r="D150" s="79"/>
      <c r="E150" s="1069" t="s">
        <v>290</v>
      </c>
      <c r="F150" s="1069"/>
      <c r="G150" s="1069"/>
      <c r="H150" s="1070" t="s">
        <v>113</v>
      </c>
      <c r="I150" s="1070"/>
      <c r="J150" s="1069" t="s">
        <v>291</v>
      </c>
      <c r="K150" s="1069"/>
      <c r="L150" s="1070" t="s">
        <v>113</v>
      </c>
      <c r="M150" s="1070"/>
    </row>
    <row r="151" spans="1:21" ht="33" customHeight="1" thickBot="1" x14ac:dyDescent="0.3">
      <c r="B151" s="78"/>
      <c r="C151" s="79"/>
      <c r="D151" s="79"/>
      <c r="E151" s="79"/>
      <c r="F151" s="79"/>
      <c r="G151" s="79"/>
      <c r="H151" s="79"/>
      <c r="I151" s="79"/>
      <c r="J151" s="79"/>
      <c r="K151" s="79"/>
      <c r="L151" s="79"/>
      <c r="M151" s="79"/>
      <c r="N151" s="5"/>
      <c r="O151" s="5"/>
      <c r="P151" s="5"/>
      <c r="Q151" s="5"/>
      <c r="R151" s="5"/>
      <c r="S151" s="5"/>
      <c r="T151" s="5"/>
      <c r="U151" s="5"/>
    </row>
    <row r="152" spans="1:21" ht="13.8" thickBot="1" x14ac:dyDescent="0.3">
      <c r="B152" s="79"/>
      <c r="C152" s="80" t="s">
        <v>292</v>
      </c>
      <c r="D152" s="79"/>
      <c r="E152" s="79"/>
      <c r="F152" s="91">
        <v>2</v>
      </c>
      <c r="G152" s="82" t="s">
        <v>293</v>
      </c>
      <c r="H152" s="93">
        <v>14.5</v>
      </c>
      <c r="I152" s="82" t="s">
        <v>294</v>
      </c>
      <c r="J152" s="92"/>
      <c r="K152" s="82" t="s">
        <v>293</v>
      </c>
      <c r="L152" s="93">
        <v>14.5</v>
      </c>
      <c r="M152" s="82" t="s">
        <v>294</v>
      </c>
    </row>
    <row r="153" spans="1:21" ht="13.8" thickBot="1" x14ac:dyDescent="0.3">
      <c r="B153" s="79"/>
      <c r="C153" s="80" t="s">
        <v>545</v>
      </c>
      <c r="D153" s="79"/>
      <c r="E153" s="79"/>
      <c r="F153" s="91">
        <v>3</v>
      </c>
      <c r="G153" s="82" t="s">
        <v>293</v>
      </c>
      <c r="H153" s="90">
        <f>$H$152</f>
        <v>14.5</v>
      </c>
      <c r="I153" s="82" t="s">
        <v>294</v>
      </c>
      <c r="J153" s="92"/>
      <c r="K153" s="82" t="s">
        <v>293</v>
      </c>
      <c r="L153" s="90">
        <f>$L$152</f>
        <v>14.5</v>
      </c>
      <c r="M153" s="82" t="s">
        <v>294</v>
      </c>
    </row>
    <row r="154" spans="1:21" ht="13.8" thickBot="1" x14ac:dyDescent="0.3">
      <c r="B154" s="79"/>
      <c r="C154" s="80" t="s">
        <v>535</v>
      </c>
      <c r="D154" s="79"/>
      <c r="E154" s="79"/>
      <c r="F154" s="91">
        <v>6</v>
      </c>
      <c r="G154" s="82" t="s">
        <v>293</v>
      </c>
      <c r="H154" s="90">
        <f t="shared" ref="H154:H168" si="15">$H$152</f>
        <v>14.5</v>
      </c>
      <c r="I154" s="82" t="s">
        <v>294</v>
      </c>
      <c r="J154" s="92"/>
      <c r="K154" s="82" t="s">
        <v>293</v>
      </c>
      <c r="L154" s="90">
        <f t="shared" ref="L154:L168" si="16">$L$152</f>
        <v>14.5</v>
      </c>
      <c r="M154" s="82" t="s">
        <v>294</v>
      </c>
    </row>
    <row r="155" spans="1:21" ht="13.8" thickBot="1" x14ac:dyDescent="0.3">
      <c r="B155" s="79"/>
      <c r="C155" s="80" t="s">
        <v>298</v>
      </c>
      <c r="D155" s="79"/>
      <c r="E155" s="79"/>
      <c r="F155" s="91">
        <v>5</v>
      </c>
      <c r="G155" s="82" t="s">
        <v>293</v>
      </c>
      <c r="H155" s="90">
        <f t="shared" si="15"/>
        <v>14.5</v>
      </c>
      <c r="I155" s="82" t="s">
        <v>294</v>
      </c>
      <c r="J155" s="92">
        <v>10</v>
      </c>
      <c r="K155" s="82" t="s">
        <v>293</v>
      </c>
      <c r="L155" s="90">
        <f t="shared" si="16"/>
        <v>14.5</v>
      </c>
      <c r="M155" s="82" t="s">
        <v>294</v>
      </c>
    </row>
    <row r="156" spans="1:21" ht="13.8" thickBot="1" x14ac:dyDescent="0.3">
      <c r="B156" s="79"/>
      <c r="C156" s="80" t="s">
        <v>501</v>
      </c>
      <c r="D156" s="79"/>
      <c r="E156" s="79"/>
      <c r="F156" s="91">
        <v>8</v>
      </c>
      <c r="G156" s="82" t="s">
        <v>293</v>
      </c>
      <c r="H156" s="90">
        <f t="shared" si="15"/>
        <v>14.5</v>
      </c>
      <c r="I156" s="82" t="s">
        <v>294</v>
      </c>
      <c r="J156" s="92"/>
      <c r="K156" s="82" t="s">
        <v>293</v>
      </c>
      <c r="L156" s="90">
        <f t="shared" si="16"/>
        <v>14.5</v>
      </c>
      <c r="M156" s="82" t="s">
        <v>294</v>
      </c>
    </row>
    <row r="157" spans="1:21" ht="13.8" thickBot="1" x14ac:dyDescent="0.3">
      <c r="B157" s="79"/>
      <c r="C157" s="80" t="s">
        <v>502</v>
      </c>
      <c r="D157" s="79"/>
      <c r="E157" s="79"/>
      <c r="F157" s="91">
        <v>4</v>
      </c>
      <c r="G157" s="82" t="s">
        <v>293</v>
      </c>
      <c r="H157" s="90">
        <f t="shared" si="15"/>
        <v>14.5</v>
      </c>
      <c r="I157" s="82" t="s">
        <v>294</v>
      </c>
      <c r="J157" s="92"/>
      <c r="K157" s="82" t="s">
        <v>293</v>
      </c>
      <c r="L157" s="90">
        <f t="shared" si="16"/>
        <v>14.5</v>
      </c>
      <c r="M157" s="82" t="s">
        <v>294</v>
      </c>
    </row>
    <row r="158" spans="1:21" s="5" customFormat="1" ht="13.8" thickBot="1" x14ac:dyDescent="0.3">
      <c r="A158" s="478"/>
      <c r="B158" s="79"/>
      <c r="C158" s="80" t="s">
        <v>503</v>
      </c>
      <c r="D158" s="79"/>
      <c r="E158" s="79"/>
      <c r="F158" s="91">
        <v>20</v>
      </c>
      <c r="G158" s="82" t="s">
        <v>293</v>
      </c>
      <c r="H158" s="90">
        <f t="shared" si="15"/>
        <v>14.5</v>
      </c>
      <c r="I158" s="82" t="s">
        <v>294</v>
      </c>
      <c r="J158" s="92"/>
      <c r="K158" s="82" t="s">
        <v>293</v>
      </c>
      <c r="L158" s="90">
        <f t="shared" si="16"/>
        <v>14.5</v>
      </c>
      <c r="M158" s="82" t="s">
        <v>294</v>
      </c>
      <c r="N158"/>
      <c r="O158"/>
      <c r="P158"/>
      <c r="Q158"/>
      <c r="R158"/>
      <c r="S158"/>
      <c r="T158"/>
      <c r="U158"/>
    </row>
    <row r="159" spans="1:21" ht="13.8" thickBot="1" x14ac:dyDescent="0.3">
      <c r="B159" s="79"/>
      <c r="C159" s="80" t="s">
        <v>504</v>
      </c>
      <c r="D159" s="79"/>
      <c r="E159" s="79"/>
      <c r="F159" s="91">
        <v>4</v>
      </c>
      <c r="G159" s="82" t="s">
        <v>293</v>
      </c>
      <c r="H159" s="90">
        <f t="shared" si="15"/>
        <v>14.5</v>
      </c>
      <c r="I159" s="82" t="s">
        <v>294</v>
      </c>
      <c r="J159" s="92"/>
      <c r="K159" s="82" t="s">
        <v>293</v>
      </c>
      <c r="L159" s="90">
        <f t="shared" si="16"/>
        <v>14.5</v>
      </c>
      <c r="M159" s="82" t="s">
        <v>294</v>
      </c>
    </row>
    <row r="160" spans="1:21" ht="13.8" thickBot="1" x14ac:dyDescent="0.3">
      <c r="B160" s="79"/>
      <c r="C160" s="80" t="s">
        <v>526</v>
      </c>
      <c r="D160" s="79"/>
      <c r="E160" s="79"/>
      <c r="F160" s="91">
        <v>4</v>
      </c>
      <c r="G160" s="82" t="s">
        <v>293</v>
      </c>
      <c r="H160" s="90">
        <f t="shared" si="15"/>
        <v>14.5</v>
      </c>
      <c r="I160" s="82" t="s">
        <v>294</v>
      </c>
      <c r="J160" s="92"/>
      <c r="K160" s="82" t="s">
        <v>293</v>
      </c>
      <c r="L160" s="90">
        <f t="shared" si="16"/>
        <v>14.5</v>
      </c>
      <c r="M160" s="82" t="s">
        <v>294</v>
      </c>
      <c r="N160" s="5"/>
      <c r="O160" s="5"/>
      <c r="P160" s="5"/>
      <c r="Q160" s="5"/>
      <c r="R160" s="5"/>
      <c r="S160" s="5"/>
      <c r="T160" s="5"/>
      <c r="U160" s="5"/>
    </row>
    <row r="161" spans="2:21" ht="13.8" thickBot="1" x14ac:dyDescent="0.3">
      <c r="B161" s="79"/>
      <c r="C161" s="80" t="s">
        <v>303</v>
      </c>
      <c r="D161" s="79"/>
      <c r="E161" s="79"/>
      <c r="F161" s="91">
        <v>8</v>
      </c>
      <c r="G161" s="82" t="s">
        <v>293</v>
      </c>
      <c r="H161" s="90">
        <f t="shared" si="15"/>
        <v>14.5</v>
      </c>
      <c r="I161" s="82" t="s">
        <v>294</v>
      </c>
      <c r="J161" s="92"/>
      <c r="K161" s="82" t="s">
        <v>293</v>
      </c>
      <c r="L161" s="90">
        <f t="shared" si="16"/>
        <v>14.5</v>
      </c>
      <c r="M161" s="82" t="s">
        <v>294</v>
      </c>
    </row>
    <row r="162" spans="2:21" ht="13.8" thickBot="1" x14ac:dyDescent="0.3">
      <c r="B162" s="79"/>
      <c r="C162" s="80" t="s">
        <v>38</v>
      </c>
      <c r="D162" s="79"/>
      <c r="E162" s="79"/>
      <c r="F162" s="91">
        <v>20</v>
      </c>
      <c r="G162" s="82" t="s">
        <v>293</v>
      </c>
      <c r="H162" s="90">
        <f t="shared" si="15"/>
        <v>14.5</v>
      </c>
      <c r="I162" s="82" t="s">
        <v>294</v>
      </c>
      <c r="J162" s="92">
        <v>20</v>
      </c>
      <c r="K162" s="82" t="s">
        <v>293</v>
      </c>
      <c r="L162" s="90">
        <f t="shared" si="16"/>
        <v>14.5</v>
      </c>
      <c r="M162" s="82" t="s">
        <v>294</v>
      </c>
    </row>
    <row r="163" spans="2:21" ht="13.8" thickBot="1" x14ac:dyDescent="0.3">
      <c r="B163" s="79"/>
      <c r="C163" s="80" t="s">
        <v>458</v>
      </c>
      <c r="D163" s="79"/>
      <c r="E163" s="79"/>
      <c r="F163" s="91">
        <v>10</v>
      </c>
      <c r="G163" s="82" t="s">
        <v>293</v>
      </c>
      <c r="H163" s="90">
        <f t="shared" si="15"/>
        <v>14.5</v>
      </c>
      <c r="I163" s="82" t="s">
        <v>294</v>
      </c>
      <c r="J163" s="92"/>
      <c r="K163" s="82" t="s">
        <v>293</v>
      </c>
      <c r="L163" s="90">
        <f t="shared" si="16"/>
        <v>14.5</v>
      </c>
      <c r="M163" s="82" t="s">
        <v>294</v>
      </c>
    </row>
    <row r="164" spans="2:21" ht="13.8" thickBot="1" x14ac:dyDescent="0.3">
      <c r="B164" s="79"/>
      <c r="C164" s="80" t="s">
        <v>306</v>
      </c>
      <c r="D164" s="79"/>
      <c r="E164" s="79"/>
      <c r="F164" s="92">
        <v>40</v>
      </c>
      <c r="G164" s="82" t="s">
        <v>293</v>
      </c>
      <c r="H164" s="90">
        <f t="shared" si="15"/>
        <v>14.5</v>
      </c>
      <c r="I164" s="82" t="s">
        <v>294</v>
      </c>
      <c r="J164" s="92">
        <v>40</v>
      </c>
      <c r="K164" s="82" t="s">
        <v>293</v>
      </c>
      <c r="L164" s="90">
        <f t="shared" si="16"/>
        <v>14.5</v>
      </c>
      <c r="M164" s="82" t="s">
        <v>294</v>
      </c>
    </row>
    <row r="165" spans="2:21" ht="13.8" thickBot="1" x14ac:dyDescent="0.3">
      <c r="B165" s="79"/>
      <c r="C165" s="80" t="s">
        <v>307</v>
      </c>
      <c r="D165" s="79"/>
      <c r="E165" s="79"/>
      <c r="F165" s="92">
        <v>10</v>
      </c>
      <c r="G165" s="82" t="s">
        <v>293</v>
      </c>
      <c r="H165" s="90">
        <f t="shared" si="15"/>
        <v>14.5</v>
      </c>
      <c r="I165" s="82" t="s">
        <v>294</v>
      </c>
      <c r="J165" s="92"/>
      <c r="K165" s="82" t="s">
        <v>293</v>
      </c>
      <c r="L165" s="90">
        <f t="shared" si="16"/>
        <v>14.5</v>
      </c>
      <c r="M165" s="82" t="s">
        <v>294</v>
      </c>
    </row>
    <row r="166" spans="2:21" ht="13.8" thickBot="1" x14ac:dyDescent="0.3">
      <c r="B166" s="79"/>
      <c r="C166" s="80" t="s">
        <v>308</v>
      </c>
      <c r="D166" s="79"/>
      <c r="E166" s="79"/>
      <c r="F166" s="92"/>
      <c r="G166" s="82" t="s">
        <v>293</v>
      </c>
      <c r="H166" s="90">
        <f t="shared" si="15"/>
        <v>14.5</v>
      </c>
      <c r="I166" s="82" t="s">
        <v>294</v>
      </c>
      <c r="J166" s="75"/>
      <c r="K166" s="82" t="s">
        <v>293</v>
      </c>
      <c r="L166" s="90">
        <f t="shared" si="16"/>
        <v>14.5</v>
      </c>
      <c r="M166" s="82" t="s">
        <v>294</v>
      </c>
    </row>
    <row r="167" spans="2:21" ht="13.8" thickBot="1" x14ac:dyDescent="0.3">
      <c r="B167" s="79"/>
      <c r="C167" s="80" t="s">
        <v>308</v>
      </c>
      <c r="D167" s="79"/>
      <c r="E167" s="79"/>
      <c r="F167" s="92"/>
      <c r="G167" s="82" t="s">
        <v>293</v>
      </c>
      <c r="H167" s="90">
        <f t="shared" si="15"/>
        <v>14.5</v>
      </c>
      <c r="I167" s="82" t="s">
        <v>294</v>
      </c>
      <c r="J167" s="75"/>
      <c r="K167" s="82" t="s">
        <v>293</v>
      </c>
      <c r="L167" s="90">
        <f t="shared" si="16"/>
        <v>14.5</v>
      </c>
      <c r="M167" s="82" t="s">
        <v>294</v>
      </c>
    </row>
    <row r="168" spans="2:21" ht="13.8" thickBot="1" x14ac:dyDescent="0.3">
      <c r="B168" s="79"/>
      <c r="C168" s="80" t="s">
        <v>308</v>
      </c>
      <c r="D168" s="81"/>
      <c r="E168" s="81"/>
      <c r="F168" s="75"/>
      <c r="G168" s="82" t="s">
        <v>293</v>
      </c>
      <c r="H168" s="90">
        <f t="shared" si="15"/>
        <v>14.5</v>
      </c>
      <c r="I168" s="82" t="s">
        <v>294</v>
      </c>
      <c r="J168" s="75"/>
      <c r="K168" s="82" t="s">
        <v>293</v>
      </c>
      <c r="L168" s="90">
        <f t="shared" si="16"/>
        <v>14.5</v>
      </c>
      <c r="M168" s="82" t="s">
        <v>294</v>
      </c>
    </row>
    <row r="169" spans="2:21" x14ac:dyDescent="0.25">
      <c r="B169" s="209"/>
      <c r="C169" s="210" t="s">
        <v>54</v>
      </c>
      <c r="D169" s="211"/>
      <c r="E169" s="211"/>
      <c r="F169" s="212">
        <f>SUM(F152:F168)</f>
        <v>144</v>
      </c>
      <c r="G169" s="209" t="s">
        <v>293</v>
      </c>
      <c r="H169" s="213">
        <f>F169*H152</f>
        <v>2088</v>
      </c>
      <c r="I169" s="209" t="s">
        <v>57</v>
      </c>
      <c r="J169" s="212">
        <f>SUM(J152:J168)</f>
        <v>70</v>
      </c>
      <c r="K169" s="209" t="s">
        <v>293</v>
      </c>
      <c r="L169" s="213">
        <f>J169*L152</f>
        <v>1015</v>
      </c>
      <c r="M169" s="209" t="s">
        <v>57</v>
      </c>
    </row>
    <row r="171" spans="2:21" ht="40.200000000000003" customHeight="1" x14ac:dyDescent="0.25">
      <c r="N171" s="5"/>
      <c r="O171" s="5"/>
      <c r="P171" s="5"/>
      <c r="Q171" s="5"/>
      <c r="R171" s="5"/>
      <c r="S171" s="5"/>
      <c r="T171" s="5"/>
      <c r="U171" s="5"/>
    </row>
    <row r="174" spans="2:21" ht="37.950000000000003" customHeight="1" x14ac:dyDescent="0.25"/>
    <row r="186" spans="1:21" s="5" customFormat="1" x14ac:dyDescent="0.25">
      <c r="A186" s="478"/>
      <c r="B186"/>
      <c r="C186"/>
      <c r="D186"/>
      <c r="E186"/>
      <c r="F186"/>
      <c r="G186"/>
      <c r="H186"/>
      <c r="I186"/>
      <c r="J186"/>
      <c r="K186"/>
      <c r="L186"/>
      <c r="M186"/>
      <c r="N186"/>
      <c r="O186"/>
      <c r="P186"/>
      <c r="Q186"/>
      <c r="R186"/>
      <c r="S186"/>
      <c r="T186"/>
      <c r="U186"/>
    </row>
    <row r="188" spans="1:21" x14ac:dyDescent="0.25">
      <c r="N188" s="5"/>
      <c r="O188" s="5"/>
      <c r="P188" s="5"/>
      <c r="Q188" s="5"/>
      <c r="R188" s="5"/>
      <c r="S188" s="5"/>
      <c r="T188" s="5"/>
      <c r="U188" s="5"/>
    </row>
  </sheetData>
  <mergeCells count="45">
    <mergeCell ref="L150:M150"/>
    <mergeCell ref="B148:M149"/>
    <mergeCell ref="F105:G105"/>
    <mergeCell ref="H105:I105"/>
    <mergeCell ref="J105:K105"/>
    <mergeCell ref="F118:G118"/>
    <mergeCell ref="H118:I118"/>
    <mergeCell ref="J118:K118"/>
    <mergeCell ref="F126:G126"/>
    <mergeCell ref="H126:I126"/>
    <mergeCell ref="J126:K126"/>
    <mergeCell ref="E150:G150"/>
    <mergeCell ref="H150:I150"/>
    <mergeCell ref="J150:K150"/>
    <mergeCell ref="L69:M69"/>
    <mergeCell ref="F76:G76"/>
    <mergeCell ref="H76:I76"/>
    <mergeCell ref="J76:K76"/>
    <mergeCell ref="F86:G86"/>
    <mergeCell ref="H86:I86"/>
    <mergeCell ref="J86:K86"/>
    <mergeCell ref="F71:G71"/>
    <mergeCell ref="H71:I71"/>
    <mergeCell ref="J71:K71"/>
    <mergeCell ref="B57:D57"/>
    <mergeCell ref="B64:D64"/>
    <mergeCell ref="B66:D66"/>
    <mergeCell ref="B69:E69"/>
    <mergeCell ref="B38:D38"/>
    <mergeCell ref="C41:D41"/>
    <mergeCell ref="B45:D45"/>
    <mergeCell ref="C48:D48"/>
    <mergeCell ref="B52:C52"/>
    <mergeCell ref="C55:D55"/>
    <mergeCell ref="B2:C2"/>
    <mergeCell ref="B4:L4"/>
    <mergeCell ref="O9:Q9"/>
    <mergeCell ref="T9:U9"/>
    <mergeCell ref="B11:D11"/>
    <mergeCell ref="C34:D34"/>
    <mergeCell ref="O18:Q18"/>
    <mergeCell ref="B26:E26"/>
    <mergeCell ref="B27:E27"/>
    <mergeCell ref="B28:D28"/>
    <mergeCell ref="B31:C31"/>
  </mergeCells>
  <hyperlinks>
    <hyperlink ref="B2" location="Tilakokonaisuus!A1" display="PALAA ETUSIVULLE" xr:uid="{84398742-E9BB-134E-BE7F-4DB269490BE8}"/>
    <hyperlink ref="B2:C2" location="'Gårdens info'!A1" display="TILL FRAMSIDAN" xr:uid="{76D85A1B-4219-5E41-B599-73689EA83CAB}"/>
    <hyperlink ref="B26:E26" location="'Gårdens info'!C97" display="ALMÄNNA KOSTNADER, grönsakens andel" xr:uid="{C9EDA39B-B076-0B49-A907-79557D62F0D8}"/>
    <hyperlink ref="B31:C31" location="Omaisuus!B15" display="RAKENNUKSET" xr:uid="{A510A63C-99C2-F64B-B3EC-E430186C8C18}"/>
    <hyperlink ref="B38:D38" location="Omaisuus!B28" display="KONEET JA KALUSTO" xr:uid="{6579EB0B-C9F4-504B-A1BD-6893F88E5A54}"/>
    <hyperlink ref="B45:D45" location="Omaisuus!B51" display="PIDEMPIAIKAISET TUOTANTOVÄLINEET" xr:uid="{FB1ED49C-D7BF-4443-9A3F-040AD10205EF}"/>
    <hyperlink ref="B52:C52" location="Omaisuus!B70" display="SALAOJAT" xr:uid="{ABFB0B9C-6A26-B245-A690-50740889891A}"/>
    <hyperlink ref="L69" location="'Avomaan mansikka'!B2" display="PALAA SIVUN YLÄLAITAAN" xr:uid="{DC6E3799-47F1-6C41-8DD1-4DBC226833FC}"/>
    <hyperlink ref="L69:M69" location="'Grönsak planterad 2'!A1" display="TILL SIDANS BÖRJAN" xr:uid="{213D1C80-642D-554D-9805-A80BFA85D18F}"/>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37E2A-0612-1B46-9504-24BA76866602}">
  <sheetPr>
    <tabColor theme="7" tint="0.39997558519241921"/>
  </sheetPr>
  <dimension ref="A1:AC188"/>
  <sheetViews>
    <sheetView topLeftCell="A142" zoomScale="62" workbookViewId="0">
      <selection activeCell="B5" sqref="B5"/>
    </sheetView>
  </sheetViews>
  <sheetFormatPr defaultColWidth="11.44140625" defaultRowHeight="13.2" x14ac:dyDescent="0.25"/>
  <cols>
    <col min="1" max="1" width="5.33203125" style="636"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8" customWidth="1"/>
    <col min="16" max="16" width="4.44140625" customWidth="1"/>
    <col min="17" max="17" width="15" customWidth="1"/>
    <col min="18" max="18" width="5.109375" customWidth="1"/>
    <col min="19" max="19" width="18.33203125" bestFit="1" customWidth="1"/>
  </cols>
  <sheetData>
    <row r="1" spans="1:21" s="636" customFormat="1" ht="22.8" x14ac:dyDescent="0.4">
      <c r="B1" s="644" t="s">
        <v>27</v>
      </c>
    </row>
    <row r="2" spans="1:21" ht="27" customHeight="1" x14ac:dyDescent="0.3">
      <c r="B2" s="1094" t="s">
        <v>201</v>
      </c>
      <c r="C2" s="1094"/>
      <c r="F2" s="69"/>
      <c r="G2" s="69"/>
      <c r="H2" s="69"/>
    </row>
    <row r="3" spans="1:21" ht="27" customHeight="1" x14ac:dyDescent="0.3">
      <c r="B3" s="189"/>
      <c r="C3" s="189"/>
    </row>
    <row r="4" spans="1:21" ht="36" customHeight="1" x14ac:dyDescent="0.3">
      <c r="B4" s="1109" t="s">
        <v>375</v>
      </c>
      <c r="C4" s="1109"/>
      <c r="D4" s="1109"/>
      <c r="E4" s="1109"/>
      <c r="F4" s="1109"/>
      <c r="G4" s="1109"/>
      <c r="H4" s="1109"/>
      <c r="I4" s="1109"/>
      <c r="J4" s="1109"/>
      <c r="K4" s="1109"/>
      <c r="L4" s="1109"/>
    </row>
    <row r="5" spans="1:21" ht="27" customHeight="1" thickBot="1" x14ac:dyDescent="0.35">
      <c r="B5" s="189"/>
      <c r="C5" s="189"/>
    </row>
    <row r="6" spans="1:21" ht="27" customHeight="1" x14ac:dyDescent="0.4">
      <c r="B6" s="256" t="s">
        <v>547</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H9*'Gårdens info'!G21</f>
        <v>0</v>
      </c>
      <c r="G9" s="119" t="s">
        <v>57</v>
      </c>
      <c r="H9" s="508">
        <f>IF('Gårdens info'!G21&gt;0,(('Gårdens info'!D21*'Gårdens info'!G21*S10*T10)+('Gårdens info'!D21*'Gårdens info'!G21*S11*T11)+('Gårdens info'!D21*'Gårdens info'!G21*S12*T12)+('Gårdens info'!D21*'Gårdens info'!G21*S13*T13)+('Gårdens info'!D21*'Gårdens info'!G21*S14*T14)+('Gårdens info'!D21*'Gårdens info'!G21*S15*T15)+('Gårdens info'!D21*'Gårdens info'!G21*S16*T16)+('Gårdens info'!D21*'Gårdens info'!G21*S17*T17))/(('Gårdens info'!D21*'Gårdens info'!G21)),0)</f>
        <v>0</v>
      </c>
      <c r="I9" s="119" t="s">
        <v>206</v>
      </c>
      <c r="J9" s="229">
        <f>F9*'Gårdens info'!D21</f>
        <v>0</v>
      </c>
      <c r="K9" s="119" t="s">
        <v>529</v>
      </c>
      <c r="L9" s="119"/>
      <c r="M9" s="226"/>
      <c r="N9" s="369"/>
      <c r="O9" s="1095" t="s">
        <v>208</v>
      </c>
      <c r="P9" s="1095"/>
      <c r="Q9" s="1095"/>
      <c r="R9" s="230"/>
      <c r="S9" s="926" t="s">
        <v>209</v>
      </c>
      <c r="T9" s="1086" t="s">
        <v>210</v>
      </c>
      <c r="U9" s="1087"/>
    </row>
    <row r="10" spans="1:21" ht="15.6" thickBot="1" x14ac:dyDescent="0.3">
      <c r="B10" s="227"/>
      <c r="C10" s="119" t="s">
        <v>211</v>
      </c>
      <c r="D10" s="119"/>
      <c r="E10" s="119"/>
      <c r="F10" s="229">
        <f>IF('Gårdens info'!D21&gt;0,Stöd!L15,0)</f>
        <v>0</v>
      </c>
      <c r="G10" s="119" t="s">
        <v>57</v>
      </c>
      <c r="H10" s="508">
        <f>IF('Gårdens info'!G21&gt;0,F10/'Gårdens info'!G21,0)</f>
        <v>0</v>
      </c>
      <c r="I10" s="119" t="s">
        <v>206</v>
      </c>
      <c r="J10" s="229">
        <f>F10*'Gårdens info'!D21</f>
        <v>0</v>
      </c>
      <c r="K10" s="119" t="s">
        <v>529</v>
      </c>
      <c r="L10" s="119"/>
      <c r="M10" s="226"/>
      <c r="N10" s="369"/>
      <c r="O10" s="119">
        <v>1</v>
      </c>
      <c r="P10" s="119" t="s">
        <v>212</v>
      </c>
      <c r="Q10" s="119" t="s">
        <v>213</v>
      </c>
      <c r="R10" s="119"/>
      <c r="S10" s="377">
        <v>0</v>
      </c>
      <c r="T10" s="255"/>
      <c r="U10" s="239" t="s">
        <v>206</v>
      </c>
    </row>
    <row r="11" spans="1:21" s="5" customFormat="1" ht="21.6" customHeight="1" thickBot="1" x14ac:dyDescent="0.45">
      <c r="A11" s="637"/>
      <c r="B11" s="1061" t="s">
        <v>214</v>
      </c>
      <c r="C11" s="1043"/>
      <c r="D11" s="1043"/>
      <c r="E11" s="262"/>
      <c r="F11" s="266">
        <f>F9+F10</f>
        <v>0</v>
      </c>
      <c r="G11" s="267" t="s">
        <v>57</v>
      </c>
      <c r="H11" s="507">
        <f>H9+H10</f>
        <v>0</v>
      </c>
      <c r="I11" s="267" t="s">
        <v>206</v>
      </c>
      <c r="J11" s="269">
        <f>J9+J10</f>
        <v>0</v>
      </c>
      <c r="K11" s="267" t="s">
        <v>529</v>
      </c>
      <c r="L11" s="267"/>
      <c r="M11" s="259"/>
      <c r="N11" s="370"/>
      <c r="O11" s="119">
        <v>0.25</v>
      </c>
      <c r="P11" s="119" t="s">
        <v>212</v>
      </c>
      <c r="Q11" s="119" t="s">
        <v>333</v>
      </c>
      <c r="R11" s="119"/>
      <c r="S11" s="379">
        <v>0</v>
      </c>
      <c r="T11" s="255"/>
      <c r="U11" s="239" t="s">
        <v>206</v>
      </c>
    </row>
    <row r="12" spans="1:21" s="5" customFormat="1" ht="21.6" thickBot="1" x14ac:dyDescent="0.45">
      <c r="A12" s="637"/>
      <c r="B12" s="288"/>
      <c r="C12" s="270"/>
      <c r="D12" s="270"/>
      <c r="E12" s="262"/>
      <c r="F12" s="266"/>
      <c r="G12" s="267"/>
      <c r="H12" s="268"/>
      <c r="I12" s="267"/>
      <c r="J12" s="269"/>
      <c r="K12" s="267"/>
      <c r="L12" s="267"/>
      <c r="M12" s="259"/>
      <c r="N12" s="370"/>
      <c r="O12" s="119">
        <v>0.5</v>
      </c>
      <c r="P12" s="119" t="s">
        <v>212</v>
      </c>
      <c r="Q12" s="119" t="s">
        <v>213</v>
      </c>
      <c r="R12" s="119"/>
      <c r="S12" s="379">
        <v>0</v>
      </c>
      <c r="T12" s="255"/>
      <c r="U12" s="239" t="s">
        <v>206</v>
      </c>
    </row>
    <row r="13" spans="1:21" ht="22.2" customHeight="1" thickBot="1" x14ac:dyDescent="0.35">
      <c r="B13" s="231"/>
      <c r="C13" s="225"/>
      <c r="D13" s="116"/>
      <c r="E13" s="116"/>
      <c r="F13" s="116"/>
      <c r="G13" s="116"/>
      <c r="H13" s="116"/>
      <c r="I13" s="116"/>
      <c r="J13" s="232"/>
      <c r="K13" s="116"/>
      <c r="L13" s="116"/>
      <c r="M13" s="226"/>
      <c r="N13" s="369"/>
      <c r="O13" s="119">
        <v>10</v>
      </c>
      <c r="P13" s="119" t="s">
        <v>212</v>
      </c>
      <c r="Q13" s="119" t="s">
        <v>215</v>
      </c>
      <c r="R13" s="119"/>
      <c r="S13" s="379">
        <v>1</v>
      </c>
      <c r="T13" s="255">
        <v>0.76</v>
      </c>
      <c r="U13" s="239" t="s">
        <v>206</v>
      </c>
    </row>
    <row r="14" spans="1:21" ht="21.6" thickBot="1" x14ac:dyDescent="0.45">
      <c r="B14" s="257" t="s">
        <v>186</v>
      </c>
      <c r="C14" s="225"/>
      <c r="D14" s="116"/>
      <c r="E14" s="116"/>
      <c r="F14" s="116"/>
      <c r="G14" s="116"/>
      <c r="H14" s="116"/>
      <c r="I14" s="116"/>
      <c r="J14" s="232"/>
      <c r="K14" s="116"/>
      <c r="L14" s="116"/>
      <c r="M14" s="226"/>
      <c r="N14" s="369"/>
      <c r="O14" s="651">
        <f>D111</f>
        <v>0</v>
      </c>
      <c r="P14" s="119" t="s">
        <v>212</v>
      </c>
      <c r="Q14" s="298" t="s">
        <v>272</v>
      </c>
      <c r="R14" s="119"/>
      <c r="S14" s="379">
        <v>0</v>
      </c>
      <c r="T14" s="255"/>
      <c r="U14" s="239" t="s">
        <v>206</v>
      </c>
    </row>
    <row r="15" spans="1:21" s="56" customFormat="1" ht="16.95" customHeight="1" thickBot="1" x14ac:dyDescent="0.35">
      <c r="A15" s="638"/>
      <c r="B15" s="235"/>
      <c r="C15" s="245"/>
      <c r="D15" s="249"/>
      <c r="E15" s="249"/>
      <c r="F15" s="250"/>
      <c r="G15" s="120"/>
      <c r="H15" s="249"/>
      <c r="I15" s="249"/>
      <c r="J15" s="249"/>
      <c r="K15" s="249"/>
      <c r="L15" s="249"/>
      <c r="M15" s="234"/>
      <c r="N15" s="369"/>
      <c r="O15" s="651">
        <f t="shared" ref="O15:O17" si="0">D112</f>
        <v>0</v>
      </c>
      <c r="P15" s="119" t="s">
        <v>212</v>
      </c>
      <c r="Q15" s="298" t="s">
        <v>272</v>
      </c>
      <c r="R15" s="119"/>
      <c r="S15" s="379">
        <v>0</v>
      </c>
      <c r="T15" s="255"/>
      <c r="U15" s="239" t="s">
        <v>206</v>
      </c>
    </row>
    <row r="16" spans="1:21" s="69" customFormat="1" ht="16.95" customHeight="1" thickBot="1" x14ac:dyDescent="0.3">
      <c r="A16" s="638"/>
      <c r="B16" s="235"/>
      <c r="C16" s="228" t="s">
        <v>382</v>
      </c>
      <c r="D16" s="236"/>
      <c r="E16" s="236"/>
      <c r="F16" s="247">
        <f>IF('Gårdens info'!D21&gt;0,J73,0)</f>
        <v>0</v>
      </c>
      <c r="G16" s="119" t="s">
        <v>57</v>
      </c>
      <c r="H16" s="503">
        <f>IF('Gårdens info'!$G$21&gt;0,F16/'Gårdens info'!$G$21,)</f>
        <v>0</v>
      </c>
      <c r="I16" s="119" t="s">
        <v>206</v>
      </c>
      <c r="J16" s="237">
        <f>F16*'Gårdens info'!$D$21</f>
        <v>0</v>
      </c>
      <c r="K16" s="119" t="s">
        <v>529</v>
      </c>
      <c r="L16" s="236"/>
      <c r="M16" s="239"/>
      <c r="N16" s="227"/>
      <c r="O16" s="651">
        <f t="shared" si="0"/>
        <v>0</v>
      </c>
      <c r="P16" s="119"/>
      <c r="Q16" s="298" t="s">
        <v>272</v>
      </c>
      <c r="R16" s="119"/>
      <c r="S16" s="379">
        <v>0</v>
      </c>
      <c r="T16" s="255"/>
      <c r="U16" s="239" t="s">
        <v>206</v>
      </c>
    </row>
    <row r="17" spans="1:29" s="69" customFormat="1" ht="15.6" thickBot="1" x14ac:dyDescent="0.3">
      <c r="A17" s="638"/>
      <c r="B17" s="235"/>
      <c r="C17" s="228" t="s">
        <v>219</v>
      </c>
      <c r="D17" s="236"/>
      <c r="E17" s="236"/>
      <c r="F17" s="237">
        <f>IF('Gårdens info'!D21&gt;0,J83,0)</f>
        <v>0</v>
      </c>
      <c r="G17" s="119" t="s">
        <v>57</v>
      </c>
      <c r="H17" s="503">
        <f>IF('Gårdens info'!$G$21&gt;0,F17/'Gårdens info'!$G$21,)</f>
        <v>0</v>
      </c>
      <c r="I17" s="119" t="s">
        <v>206</v>
      </c>
      <c r="J17" s="237">
        <f>F17*'Gårdens info'!$D$21</f>
        <v>0</v>
      </c>
      <c r="K17" s="119" t="s">
        <v>529</v>
      </c>
      <c r="L17" s="236"/>
      <c r="M17" s="239"/>
      <c r="N17" s="369"/>
      <c r="O17" s="651">
        <f t="shared" si="0"/>
        <v>0</v>
      </c>
      <c r="P17" s="119" t="s">
        <v>212</v>
      </c>
      <c r="Q17" s="298" t="s">
        <v>272</v>
      </c>
      <c r="R17" s="119"/>
      <c r="S17" s="378">
        <v>0</v>
      </c>
      <c r="T17" s="255"/>
      <c r="U17" s="239" t="s">
        <v>206</v>
      </c>
    </row>
    <row r="18" spans="1:29" s="69" customFormat="1" ht="17.399999999999999" x14ac:dyDescent="0.3">
      <c r="A18" s="638"/>
      <c r="B18" s="235"/>
      <c r="C18" s="228" t="s">
        <v>220</v>
      </c>
      <c r="D18" s="236"/>
      <c r="E18" s="236"/>
      <c r="F18" s="237">
        <f>IF('Gårdens info'!D21&gt;0,J102,0)</f>
        <v>0</v>
      </c>
      <c r="G18" s="119" t="s">
        <v>57</v>
      </c>
      <c r="H18" s="503">
        <f>IF('Gårdens info'!$G$21&gt;0,F18/'Gårdens info'!$G$21,)</f>
        <v>0</v>
      </c>
      <c r="I18" s="119" t="s">
        <v>206</v>
      </c>
      <c r="J18" s="237">
        <f>F18*'Gårdens info'!$D$21</f>
        <v>0</v>
      </c>
      <c r="K18" s="119" t="s">
        <v>529</v>
      </c>
      <c r="L18" s="236"/>
      <c r="M18" s="239"/>
      <c r="N18" s="371"/>
      <c r="O18" s="1088" t="s">
        <v>54</v>
      </c>
      <c r="P18" s="1088"/>
      <c r="Q18" s="1088"/>
      <c r="R18" s="120"/>
      <c r="S18" s="375">
        <f>SUM(S10:S17)</f>
        <v>1</v>
      </c>
      <c r="T18" s="120"/>
      <c r="U18" s="234"/>
    </row>
    <row r="19" spans="1:29" s="69" customFormat="1" ht="15.6" x14ac:dyDescent="0.3">
      <c r="A19" s="638"/>
      <c r="B19" s="235"/>
      <c r="C19" s="228" t="s">
        <v>221</v>
      </c>
      <c r="D19" s="236"/>
      <c r="E19" s="236"/>
      <c r="F19" s="237">
        <f>IF('Gårdens info'!D21&gt;0,J115,0)</f>
        <v>0</v>
      </c>
      <c r="G19" s="119" t="s">
        <v>57</v>
      </c>
      <c r="H19" s="503">
        <f>IF('Gårdens info'!$G$21&gt;0,F19/'Gårdens info'!$G$21,)</f>
        <v>0</v>
      </c>
      <c r="I19" s="119" t="s">
        <v>206</v>
      </c>
      <c r="J19" s="237">
        <f>F19*'Gårdens info'!$D$21</f>
        <v>0</v>
      </c>
      <c r="K19" s="119" t="s">
        <v>529</v>
      </c>
      <c r="L19" s="236"/>
      <c r="M19" s="239"/>
      <c r="N19" s="227"/>
      <c r="O19" s="376" t="str">
        <f>IF(S18=100%," ","HUOM! Osuus myyynneistä pitää summautua 100 prosenttiin")</f>
        <v xml:space="preserve"> </v>
      </c>
      <c r="P19" s="119"/>
      <c r="R19" s="119"/>
      <c r="S19" s="119"/>
      <c r="T19" s="119"/>
      <c r="U19" s="239"/>
    </row>
    <row r="20" spans="1:29" s="69" customFormat="1" ht="15.6" thickBot="1" x14ac:dyDescent="0.3">
      <c r="A20" s="638"/>
      <c r="B20" s="235"/>
      <c r="C20" s="228" t="s">
        <v>222</v>
      </c>
      <c r="D20" s="236"/>
      <c r="E20" s="236"/>
      <c r="F20" s="237">
        <f>IF('Gårdens info'!D21&gt;0,J123,0)</f>
        <v>0</v>
      </c>
      <c r="G20" s="119" t="s">
        <v>57</v>
      </c>
      <c r="H20" s="503">
        <f>IF('Gårdens info'!$G$21&gt;0,F20/'Gårdens info'!$G$21,)</f>
        <v>0</v>
      </c>
      <c r="I20" s="119" t="s">
        <v>206</v>
      </c>
      <c r="J20" s="237">
        <f>F20*'Gårdens info'!$D$21</f>
        <v>0</v>
      </c>
      <c r="K20" s="119" t="s">
        <v>529</v>
      </c>
      <c r="L20" s="236"/>
      <c r="M20" s="239"/>
      <c r="N20" s="372"/>
      <c r="O20" s="373"/>
      <c r="P20" s="373"/>
      <c r="Q20" s="373"/>
      <c r="R20" s="373"/>
      <c r="S20" s="373"/>
      <c r="T20" s="373"/>
      <c r="U20" s="374"/>
    </row>
    <row r="21" spans="1:29" s="69" customFormat="1" ht="15" x14ac:dyDescent="0.25">
      <c r="A21" s="638"/>
      <c r="B21" s="235"/>
      <c r="C21" s="228" t="s">
        <v>223</v>
      </c>
      <c r="D21" s="236"/>
      <c r="E21" s="236"/>
      <c r="F21" s="237">
        <f>IF('Gårdens info'!D21&gt;0,J131,0)</f>
        <v>0</v>
      </c>
      <c r="G21" s="119" t="s">
        <v>57</v>
      </c>
      <c r="H21" s="503">
        <f>IF('Gårdens info'!$G$21&gt;0,F21/'Gårdens info'!$G$21,)</f>
        <v>0</v>
      </c>
      <c r="I21" s="119" t="s">
        <v>206</v>
      </c>
      <c r="J21" s="237">
        <f>F21*'Gårdens info'!$D$21</f>
        <v>0</v>
      </c>
      <c r="K21" s="119" t="s">
        <v>529</v>
      </c>
      <c r="L21" s="236"/>
      <c r="M21" s="239"/>
    </row>
    <row r="22" spans="1:29" s="69" customFormat="1" ht="15" x14ac:dyDescent="0.25">
      <c r="A22" s="638"/>
      <c r="B22" s="235"/>
      <c r="C22" s="228" t="s">
        <v>224</v>
      </c>
      <c r="D22" s="236"/>
      <c r="E22" s="236"/>
      <c r="F22" s="237">
        <f>IF('Gårdens info'!D21&gt;0,J143,0)</f>
        <v>0</v>
      </c>
      <c r="G22" s="119" t="s">
        <v>57</v>
      </c>
      <c r="H22" s="503">
        <f>IF('Gårdens info'!$G$21&gt;0,F22/'Gårdens info'!$G$21,)</f>
        <v>0</v>
      </c>
      <c r="I22" s="119" t="s">
        <v>206</v>
      </c>
      <c r="J22" s="237">
        <f>F22*'Gårdens info'!$D$21</f>
        <v>0</v>
      </c>
      <c r="K22" s="119" t="s">
        <v>529</v>
      </c>
      <c r="L22" s="236"/>
      <c r="M22" s="239"/>
    </row>
    <row r="23" spans="1:29" s="69" customFormat="1" ht="15" x14ac:dyDescent="0.25">
      <c r="A23" s="638"/>
      <c r="B23" s="235"/>
      <c r="C23" s="228" t="s">
        <v>225</v>
      </c>
      <c r="D23" s="236"/>
      <c r="E23" s="236"/>
      <c r="F23" s="237">
        <f>IF('Gårdens info'!D21&gt;0,L169,0)</f>
        <v>0</v>
      </c>
      <c r="G23" s="119" t="s">
        <v>57</v>
      </c>
      <c r="H23" s="503">
        <f>IF('Gårdens info'!$G$21&gt;0,F23/'Gårdens info'!$G$21,)</f>
        <v>0</v>
      </c>
      <c r="I23" s="119" t="s">
        <v>206</v>
      </c>
      <c r="J23" s="237">
        <f>F23*'Gårdens info'!$D$21</f>
        <v>0</v>
      </c>
      <c r="K23" s="119" t="s">
        <v>529</v>
      </c>
      <c r="L23" s="236"/>
      <c r="M23" s="239"/>
    </row>
    <row r="24" spans="1:29" ht="15.6" x14ac:dyDescent="0.3">
      <c r="B24" s="251"/>
      <c r="C24" s="240" t="s">
        <v>54</v>
      </c>
      <c r="D24" s="241"/>
      <c r="E24" s="241"/>
      <c r="F24" s="242">
        <f>SUM(F16:F23)</f>
        <v>0</v>
      </c>
      <c r="G24" s="243" t="s">
        <v>57</v>
      </c>
      <c r="H24" s="504">
        <f>SUM(H16:H23)</f>
        <v>0</v>
      </c>
      <c r="I24" s="243" t="s">
        <v>206</v>
      </c>
      <c r="J24" s="242">
        <f>SUM(J16:J23)</f>
        <v>0</v>
      </c>
      <c r="K24" s="243" t="s">
        <v>529</v>
      </c>
      <c r="L24" s="241"/>
      <c r="M24" s="252"/>
      <c r="N24" s="69"/>
      <c r="O24" s="69"/>
      <c r="P24" s="69"/>
      <c r="Q24" s="69"/>
      <c r="R24" s="69"/>
      <c r="S24" s="69"/>
      <c r="T24" s="69"/>
      <c r="U24" s="69"/>
    </row>
    <row r="25" spans="1:29" s="56" customFormat="1" ht="17.399999999999999" x14ac:dyDescent="0.3">
      <c r="A25" s="639"/>
      <c r="B25" s="231"/>
      <c r="C25" s="245"/>
      <c r="D25" s="246"/>
      <c r="E25" s="246"/>
      <c r="F25" s="247"/>
      <c r="G25" s="119"/>
      <c r="H25" s="505"/>
      <c r="I25" s="246"/>
      <c r="J25" s="246"/>
      <c r="K25" s="246"/>
      <c r="L25" s="246"/>
      <c r="M25" s="226"/>
      <c r="N25" s="69"/>
      <c r="O25" s="69"/>
      <c r="P25" s="69"/>
      <c r="R25" s="69"/>
      <c r="S25" s="69"/>
      <c r="T25" s="69"/>
      <c r="U25" s="69"/>
      <c r="AB25" s="449" t="s">
        <v>385</v>
      </c>
      <c r="AC25" s="561">
        <f>F16</f>
        <v>0</v>
      </c>
    </row>
    <row r="26" spans="1:29" s="69" customFormat="1" ht="17.399999999999999" x14ac:dyDescent="0.3">
      <c r="A26" s="638"/>
      <c r="B26" s="1089" t="s">
        <v>530</v>
      </c>
      <c r="C26" s="1090"/>
      <c r="D26" s="1090"/>
      <c r="E26" s="1090"/>
      <c r="F26" s="263">
        <f>IF('Gårdens info'!D21&gt;0,J26/'Gårdens info'!D21,0)</f>
        <v>0</v>
      </c>
      <c r="G26" s="243" t="s">
        <v>57</v>
      </c>
      <c r="H26" s="506">
        <f>IF('Gårdens info'!G21&gt;0,F26/'Gårdens info'!G21,0)</f>
        <v>0</v>
      </c>
      <c r="I26" s="243" t="s">
        <v>206</v>
      </c>
      <c r="J26" s="258">
        <f>'Gårdens info'!G163/'Gårdens info'!D43*'Gårdens info'!D21</f>
        <v>0</v>
      </c>
      <c r="K26" s="243" t="s">
        <v>529</v>
      </c>
      <c r="L26" s="265"/>
      <c r="M26" s="259"/>
      <c r="N26"/>
      <c r="O26"/>
      <c r="P26"/>
      <c r="S26"/>
      <c r="T26"/>
      <c r="U26"/>
      <c r="AB26" s="382" t="str">
        <f t="shared" ref="AB26:AB32" si="1">C17</f>
        <v>Gödsel och kalk</v>
      </c>
      <c r="AC26" s="561">
        <f t="shared" ref="AC26:AC32" si="2">F17</f>
        <v>0</v>
      </c>
    </row>
    <row r="27" spans="1:29" s="69" customFormat="1" ht="17.399999999999999" x14ac:dyDescent="0.3">
      <c r="A27" s="638"/>
      <c r="B27" s="1091" t="s">
        <v>531</v>
      </c>
      <c r="C27" s="1092"/>
      <c r="D27" s="1092"/>
      <c r="E27" s="1092"/>
      <c r="F27" s="263">
        <f>IF('Gårdens info'!D21&gt;0,J27/'Gårdens info'!D21,0)</f>
        <v>0</v>
      </c>
      <c r="G27" s="243" t="s">
        <v>57</v>
      </c>
      <c r="H27" s="506">
        <f>IF('Gårdens info'!G21&gt;0,F27/'Gårdens info'!G21,0)</f>
        <v>0</v>
      </c>
      <c r="I27" s="243" t="s">
        <v>206</v>
      </c>
      <c r="J27" s="258">
        <f>'Gårdens info'!$D$48/'Gårdens info'!$D$49*'Gårdens info'!$G$48*'Gårdens info'!D21</f>
        <v>0</v>
      </c>
      <c r="K27" s="243" t="s">
        <v>529</v>
      </c>
      <c r="L27" s="265"/>
      <c r="M27" s="259"/>
      <c r="N27" s="56"/>
      <c r="O27" s="56"/>
      <c r="P27" s="56"/>
      <c r="S27" s="56"/>
      <c r="T27" s="56"/>
      <c r="U27" s="56"/>
      <c r="AB27" s="382" t="str">
        <f t="shared" si="1"/>
        <v>IPM Växtskydd</v>
      </c>
      <c r="AC27" s="561">
        <f t="shared" si="2"/>
        <v>0</v>
      </c>
    </row>
    <row r="28" spans="1:29" s="69" customFormat="1" ht="21" customHeight="1" x14ac:dyDescent="0.4">
      <c r="A28" s="638"/>
      <c r="B28" s="1061" t="s">
        <v>189</v>
      </c>
      <c r="C28" s="1043"/>
      <c r="D28" s="1043"/>
      <c r="E28" s="262"/>
      <c r="F28" s="266">
        <f>F24+F26+F27</f>
        <v>0</v>
      </c>
      <c r="G28" s="267" t="s">
        <v>57</v>
      </c>
      <c r="H28" s="507">
        <f>H24+H26+H27</f>
        <v>0</v>
      </c>
      <c r="I28" s="267" t="s">
        <v>206</v>
      </c>
      <c r="J28" s="269">
        <f>J24+J26+J27</f>
        <v>0</v>
      </c>
      <c r="K28" s="267" t="s">
        <v>529</v>
      </c>
      <c r="L28" s="267"/>
      <c r="M28" s="259"/>
      <c r="AB28" s="382" t="str">
        <f t="shared" si="1"/>
        <v>Packningsmaterial</v>
      </c>
      <c r="AC28" s="561">
        <f t="shared" si="2"/>
        <v>0</v>
      </c>
    </row>
    <row r="29" spans="1:29" s="69" customFormat="1" ht="21" x14ac:dyDescent="0.4">
      <c r="A29" s="638"/>
      <c r="B29" s="288"/>
      <c r="C29" s="270"/>
      <c r="D29" s="270"/>
      <c r="E29" s="262"/>
      <c r="F29" s="266"/>
      <c r="G29" s="267"/>
      <c r="H29" s="268"/>
      <c r="I29" s="267"/>
      <c r="J29" s="269"/>
      <c r="K29" s="267"/>
      <c r="L29" s="267"/>
      <c r="M29" s="259"/>
      <c r="AB29" s="382" t="str">
        <f t="shared" si="1"/>
        <v>Fraktkostnader</v>
      </c>
      <c r="AC29" s="561">
        <f t="shared" si="2"/>
        <v>0</v>
      </c>
    </row>
    <row r="30" spans="1:29" s="69" customFormat="1" ht="21" x14ac:dyDescent="0.4">
      <c r="A30" s="638"/>
      <c r="B30" s="257" t="s">
        <v>532</v>
      </c>
      <c r="C30" s="225"/>
      <c r="D30" s="116"/>
      <c r="E30" s="116"/>
      <c r="F30" s="116"/>
      <c r="G30" s="116"/>
      <c r="H30" s="116"/>
      <c r="I30" s="116"/>
      <c r="J30" s="232"/>
      <c r="K30" s="116"/>
      <c r="L30" s="116"/>
      <c r="M30" s="226"/>
      <c r="AB30" s="382" t="str">
        <f t="shared" si="1"/>
        <v>Maskinkostnader och entreprenad</v>
      </c>
      <c r="AC30" s="561">
        <f t="shared" si="2"/>
        <v>0</v>
      </c>
    </row>
    <row r="31" spans="1:29" s="69" customFormat="1" ht="21" x14ac:dyDescent="0.4">
      <c r="A31" s="638"/>
      <c r="B31" s="1081" t="s">
        <v>69</v>
      </c>
      <c r="C31" s="1082"/>
      <c r="D31" s="270"/>
      <c r="E31" s="262"/>
      <c r="F31" s="266"/>
      <c r="G31" s="267"/>
      <c r="H31" s="268"/>
      <c r="I31" s="267"/>
      <c r="J31" s="269"/>
      <c r="K31" s="267"/>
      <c r="L31" s="267"/>
      <c r="M31" s="259"/>
      <c r="AB31" s="382" t="str">
        <f t="shared" si="1"/>
        <v>Energikostnader</v>
      </c>
      <c r="AC31" s="561">
        <f t="shared" si="2"/>
        <v>0</v>
      </c>
    </row>
    <row r="32" spans="1:29" s="69" customFormat="1" ht="21" x14ac:dyDescent="0.4">
      <c r="A32" s="638"/>
      <c r="B32" s="287"/>
      <c r="C32" s="941" t="s">
        <v>229</v>
      </c>
      <c r="D32" s="942"/>
      <c r="E32" s="262"/>
      <c r="F32" s="276">
        <f>IF('Gårdens info'!$D$21&gt;0,J32/'Gårdens info'!$D$21,0)</f>
        <v>0</v>
      </c>
      <c r="G32" s="119" t="s">
        <v>57</v>
      </c>
      <c r="H32" s="502">
        <f>IF('Gårdens info'!$G$21&gt;0,F32/'Gårdens info'!$G$21,0)</f>
        <v>0</v>
      </c>
      <c r="I32" s="119" t="s">
        <v>206</v>
      </c>
      <c r="J32" s="237">
        <f>Egendom!AI25</f>
        <v>0</v>
      </c>
      <c r="K32" s="119" t="s">
        <v>529</v>
      </c>
      <c r="L32" s="267"/>
      <c r="M32" s="259"/>
      <c r="AB32" s="382" t="str">
        <f t="shared" si="1"/>
        <v>Anställd arbetskraft</v>
      </c>
      <c r="AC32" s="561">
        <f t="shared" si="2"/>
        <v>0</v>
      </c>
    </row>
    <row r="33" spans="1:29" s="192" customFormat="1" ht="21" x14ac:dyDescent="0.4">
      <c r="A33" s="640"/>
      <c r="B33" s="287"/>
      <c r="C33" s="941" t="s">
        <v>230</v>
      </c>
      <c r="D33" s="942"/>
      <c r="E33" s="262"/>
      <c r="F33" s="276">
        <f>IF('Gårdens info'!$D$21&gt;0,J33/'Gårdens info'!$D$21,0)</f>
        <v>0</v>
      </c>
      <c r="G33" s="119" t="s">
        <v>57</v>
      </c>
      <c r="H33" s="502">
        <f>IF('Gårdens info'!$G$21&gt;0,F33/'Gårdens info'!$G$21,0)</f>
        <v>0</v>
      </c>
      <c r="I33" s="119" t="s">
        <v>206</v>
      </c>
      <c r="J33" s="237">
        <f>Egendom!BS25</f>
        <v>0</v>
      </c>
      <c r="K33" s="119" t="s">
        <v>529</v>
      </c>
      <c r="L33" s="267"/>
      <c r="M33" s="259"/>
      <c r="N33" s="69"/>
      <c r="O33" s="69"/>
      <c r="P33" s="69"/>
      <c r="S33" s="69"/>
      <c r="T33" s="69"/>
      <c r="U33" s="69"/>
      <c r="AB33" s="384" t="s">
        <v>538</v>
      </c>
      <c r="AC33" s="384">
        <f>F26</f>
        <v>0</v>
      </c>
    </row>
    <row r="34" spans="1:29" ht="17.399999999999999" customHeight="1" x14ac:dyDescent="0.3">
      <c r="B34" s="287"/>
      <c r="C34" s="1108" t="s">
        <v>232</v>
      </c>
      <c r="D34" s="1108"/>
      <c r="E34" s="262"/>
      <c r="F34" s="276">
        <f>IF('Gårdens info'!$D$21&gt;0,J34/'Gårdens info'!$D$21,0)</f>
        <v>0</v>
      </c>
      <c r="G34" s="119" t="s">
        <v>57</v>
      </c>
      <c r="H34" s="502">
        <f>IF('Gårdens info'!$G$21&gt;0,F34/'Gårdens info'!$G$21,0)</f>
        <v>0</v>
      </c>
      <c r="I34" s="119" t="s">
        <v>206</v>
      </c>
      <c r="J34" s="237">
        <f>Egendom!CQ25</f>
        <v>0</v>
      </c>
      <c r="K34" s="119" t="s">
        <v>529</v>
      </c>
      <c r="L34" s="267"/>
      <c r="M34" s="259"/>
      <c r="N34" s="69"/>
      <c r="O34" s="69"/>
      <c r="P34" s="69"/>
      <c r="S34" s="69"/>
      <c r="T34" s="69"/>
      <c r="U34" s="69"/>
      <c r="AB34" s="382" t="s">
        <v>482</v>
      </c>
      <c r="AC34" s="384">
        <f>F27</f>
        <v>0</v>
      </c>
    </row>
    <row r="35" spans="1:29" ht="21" x14ac:dyDescent="0.4">
      <c r="B35" s="287"/>
      <c r="C35" s="941" t="s">
        <v>483</v>
      </c>
      <c r="D35" s="942"/>
      <c r="E35" s="262"/>
      <c r="F35" s="276">
        <f>IF('Gårdens info'!$D$21&gt;0,J35/'Gårdens info'!$D$21,0)</f>
        <v>0</v>
      </c>
      <c r="G35" s="119" t="s">
        <v>57</v>
      </c>
      <c r="H35" s="502">
        <f>IF('Gårdens info'!$G$21&gt;0,F35/'Gårdens info'!$G$21,0)</f>
        <v>0</v>
      </c>
      <c r="I35" s="119" t="s">
        <v>206</v>
      </c>
      <c r="J35" s="237">
        <f>Egendom!DO25</f>
        <v>0</v>
      </c>
      <c r="K35" s="119" t="s">
        <v>529</v>
      </c>
      <c r="L35" s="267"/>
      <c r="M35" s="259"/>
      <c r="N35" s="192"/>
      <c r="O35" s="192"/>
      <c r="P35" s="192"/>
      <c r="S35" s="192"/>
      <c r="T35" s="192"/>
      <c r="U35" s="192"/>
      <c r="AB35" s="382" t="s">
        <v>235</v>
      </c>
      <c r="AC35" s="385">
        <f>F36</f>
        <v>0</v>
      </c>
    </row>
    <row r="36" spans="1:29" ht="20.399999999999999" x14ac:dyDescent="0.35">
      <c r="B36" s="289"/>
      <c r="C36" s="943" t="s">
        <v>54</v>
      </c>
      <c r="D36" s="944"/>
      <c r="E36" s="262"/>
      <c r="F36" s="280">
        <f>SUM(F32:F35)</f>
        <v>0</v>
      </c>
      <c r="G36" s="119" t="s">
        <v>57</v>
      </c>
      <c r="H36" s="509">
        <f t="shared" ref="H36:J36" si="3">SUM(H32:H35)</f>
        <v>0</v>
      </c>
      <c r="I36" s="119" t="s">
        <v>206</v>
      </c>
      <c r="J36" s="280">
        <f t="shared" si="3"/>
        <v>0</v>
      </c>
      <c r="K36" s="119" t="s">
        <v>529</v>
      </c>
      <c r="L36" s="281"/>
      <c r="M36" s="259"/>
      <c r="AB36" s="382" t="s">
        <v>236</v>
      </c>
      <c r="AC36" s="386">
        <f>F43</f>
        <v>0</v>
      </c>
    </row>
    <row r="37" spans="1:29" s="69" customFormat="1" ht="21" x14ac:dyDescent="0.4">
      <c r="A37" s="638"/>
      <c r="B37" s="287"/>
      <c r="C37" s="274"/>
      <c r="D37" s="270"/>
      <c r="E37" s="262"/>
      <c r="F37" s="276"/>
      <c r="G37" s="119"/>
      <c r="H37" s="277"/>
      <c r="I37" s="119"/>
      <c r="J37" s="237"/>
      <c r="K37" s="119"/>
      <c r="L37" s="267"/>
      <c r="M37" s="259"/>
      <c r="N37"/>
      <c r="O37"/>
      <c r="P37"/>
      <c r="S37"/>
      <c r="T37"/>
      <c r="U37"/>
      <c r="AB37" s="382" t="s">
        <v>237</v>
      </c>
      <c r="AC37" s="386">
        <f>F50</f>
        <v>0</v>
      </c>
    </row>
    <row r="38" spans="1:29" s="69" customFormat="1" ht="17.399999999999999" x14ac:dyDescent="0.3">
      <c r="A38" s="638"/>
      <c r="B38" s="1081" t="s">
        <v>83</v>
      </c>
      <c r="C38" s="1082"/>
      <c r="D38" s="1082"/>
      <c r="E38" s="262"/>
      <c r="F38" s="276"/>
      <c r="G38" s="119"/>
      <c r="H38" s="277"/>
      <c r="I38" s="119"/>
      <c r="J38" s="237"/>
      <c r="K38" s="119"/>
      <c r="L38" s="267"/>
      <c r="M38" s="259"/>
      <c r="N38"/>
      <c r="O38"/>
      <c r="P38"/>
      <c r="S38"/>
      <c r="T38"/>
      <c r="U38"/>
      <c r="AB38" s="382" t="s">
        <v>141</v>
      </c>
      <c r="AC38" s="386">
        <f>F56</f>
        <v>0</v>
      </c>
    </row>
    <row r="39" spans="1:29" s="69" customFormat="1" ht="21" x14ac:dyDescent="0.4">
      <c r="A39" s="638"/>
      <c r="B39" s="287"/>
      <c r="C39" s="941" t="s">
        <v>229</v>
      </c>
      <c r="D39" s="942"/>
      <c r="E39" s="262"/>
      <c r="F39" s="276">
        <f>IF('Gårdens info'!$D$21&gt;0,J39/'Gårdens info'!$D$21,0)</f>
        <v>0</v>
      </c>
      <c r="G39" s="119" t="s">
        <v>57</v>
      </c>
      <c r="H39" s="502">
        <f>IF('Gårdens info'!$G$21&gt;0,F39/'Gårdens info'!$G$21,0)</f>
        <v>0</v>
      </c>
      <c r="I39" s="119" t="s">
        <v>206</v>
      </c>
      <c r="J39" s="237">
        <f>Egendom!AI61</f>
        <v>0</v>
      </c>
      <c r="K39" s="119" t="s">
        <v>529</v>
      </c>
      <c r="L39" s="267"/>
      <c r="M39" s="259"/>
      <c r="AB39" s="382" t="s">
        <v>192</v>
      </c>
      <c r="AC39" s="384">
        <f>F62</f>
        <v>0</v>
      </c>
    </row>
    <row r="40" spans="1:29" s="5" customFormat="1" ht="21" x14ac:dyDescent="0.4">
      <c r="A40" s="637"/>
      <c r="B40" s="287"/>
      <c r="C40" s="941" t="s">
        <v>230</v>
      </c>
      <c r="D40" s="942"/>
      <c r="E40" s="262"/>
      <c r="F40" s="276">
        <f>IF('Gårdens info'!$D$21&gt;0,J40/'Gårdens info'!$D$21,0)</f>
        <v>0</v>
      </c>
      <c r="G40" s="119" t="s">
        <v>57</v>
      </c>
      <c r="H40" s="502">
        <f>IF('Gårdens info'!$G$21&gt;0,F40/'Gårdens info'!$G$21,0)</f>
        <v>0</v>
      </c>
      <c r="I40" s="119" t="s">
        <v>206</v>
      </c>
      <c r="J40" s="237">
        <f>Egendom!BS61</f>
        <v>0</v>
      </c>
      <c r="K40" s="119" t="s">
        <v>529</v>
      </c>
      <c r="L40" s="267"/>
      <c r="M40" s="259"/>
      <c r="N40" s="69"/>
      <c r="O40" s="69"/>
      <c r="P40" s="69"/>
      <c r="Q40" s="69"/>
      <c r="R40" s="69"/>
      <c r="S40" s="69"/>
      <c r="T40" s="69"/>
      <c r="U40" s="69"/>
      <c r="AB40" s="562"/>
      <c r="AC40" s="562"/>
    </row>
    <row r="41" spans="1:29" s="5" customFormat="1" ht="17.399999999999999" customHeight="1" x14ac:dyDescent="0.3">
      <c r="A41" s="637"/>
      <c r="B41" s="287"/>
      <c r="C41" s="1108" t="s">
        <v>232</v>
      </c>
      <c r="D41" s="1108"/>
      <c r="E41" s="262"/>
      <c r="F41" s="276">
        <f>IF('Gårdens info'!$D$21&gt;0,J41/'Gårdens info'!$D$21,0)</f>
        <v>0</v>
      </c>
      <c r="G41" s="119" t="s">
        <v>57</v>
      </c>
      <c r="H41" s="502">
        <f>IF('Gårdens info'!$G$21&gt;0,F41/'Gårdens info'!$G$21,0)</f>
        <v>0</v>
      </c>
      <c r="I41" s="119" t="s">
        <v>206</v>
      </c>
      <c r="J41" s="237">
        <f>Egendom!CQ61</f>
        <v>0</v>
      </c>
      <c r="K41" s="119" t="s">
        <v>529</v>
      </c>
      <c r="L41" s="267"/>
      <c r="M41" s="259"/>
      <c r="N41" s="69"/>
      <c r="O41" s="69"/>
      <c r="P41" s="69"/>
      <c r="Q41" s="69"/>
      <c r="R41" s="69"/>
      <c r="S41" s="69"/>
      <c r="T41" s="69"/>
      <c r="U41" s="69"/>
    </row>
    <row r="42" spans="1:29" s="5" customFormat="1" ht="21" x14ac:dyDescent="0.4">
      <c r="A42" s="637"/>
      <c r="B42" s="287"/>
      <c r="C42" s="941" t="s">
        <v>483</v>
      </c>
      <c r="D42" s="942"/>
      <c r="E42" s="262"/>
      <c r="F42" s="276">
        <f>IF('Gårdens info'!$D$21&gt;0,J42/'Gårdens info'!$D$21,0)</f>
        <v>0</v>
      </c>
      <c r="G42" s="119" t="s">
        <v>57</v>
      </c>
      <c r="H42" s="502">
        <f>IF('Gårdens info'!$G$21&gt;0,F42/'Gårdens info'!$G$21,0)</f>
        <v>0</v>
      </c>
      <c r="I42" s="119" t="s">
        <v>206</v>
      </c>
      <c r="J42" s="237">
        <f>Egendom!DO61</f>
        <v>0</v>
      </c>
      <c r="K42" s="119" t="s">
        <v>529</v>
      </c>
      <c r="L42" s="267"/>
      <c r="M42" s="259"/>
    </row>
    <row r="43" spans="1:29" s="5" customFormat="1" ht="20.399999999999999" x14ac:dyDescent="0.35">
      <c r="A43" s="637"/>
      <c r="B43" s="289"/>
      <c r="C43" s="943" t="s">
        <v>54</v>
      </c>
      <c r="D43" s="944"/>
      <c r="E43" s="262"/>
      <c r="F43" s="280">
        <f>SUM(F39:F42)</f>
        <v>0</v>
      </c>
      <c r="G43" s="119" t="s">
        <v>57</v>
      </c>
      <c r="H43" s="509">
        <f t="shared" ref="H43:J43" si="4">SUM(H39:H42)</f>
        <v>0</v>
      </c>
      <c r="I43" s="119" t="s">
        <v>206</v>
      </c>
      <c r="J43" s="280">
        <f t="shared" si="4"/>
        <v>0</v>
      </c>
      <c r="K43" s="119" t="s">
        <v>529</v>
      </c>
      <c r="L43" s="281"/>
      <c r="M43" s="259"/>
    </row>
    <row r="44" spans="1:29" s="5" customFormat="1" ht="21" x14ac:dyDescent="0.4">
      <c r="A44" s="637"/>
      <c r="B44" s="287"/>
      <c r="C44" s="274"/>
      <c r="D44" s="270"/>
      <c r="E44" s="262"/>
      <c r="F44" s="276"/>
      <c r="G44" s="119"/>
      <c r="H44" s="277"/>
      <c r="I44" s="119"/>
      <c r="J44" s="237"/>
      <c r="K44" s="119"/>
      <c r="L44" s="267"/>
      <c r="M44" s="259"/>
    </row>
    <row r="45" spans="1:29" s="5" customFormat="1" ht="43.2" customHeight="1" x14ac:dyDescent="0.3">
      <c r="A45" s="637"/>
      <c r="B45" s="1081" t="s">
        <v>239</v>
      </c>
      <c r="C45" s="1082"/>
      <c r="D45" s="1082"/>
      <c r="E45" s="262"/>
      <c r="F45" s="276"/>
      <c r="G45" s="119"/>
      <c r="H45" s="277"/>
      <c r="I45" s="119"/>
      <c r="J45" s="237"/>
      <c r="K45" s="119"/>
      <c r="L45" s="267"/>
      <c r="M45" s="259"/>
    </row>
    <row r="46" spans="1:29" ht="21" x14ac:dyDescent="0.4">
      <c r="B46" s="287"/>
      <c r="C46" s="941" t="s">
        <v>229</v>
      </c>
      <c r="D46" s="942"/>
      <c r="E46" s="262"/>
      <c r="F46" s="276">
        <f>IF('Gårdens info'!$D$21&gt;0,J46/'Gårdens info'!$D$21,0)</f>
        <v>0</v>
      </c>
      <c r="G46" s="119" t="s">
        <v>57</v>
      </c>
      <c r="H46" s="502">
        <f>IF('Gårdens info'!$G$21&gt;0,F46/'Gårdens info'!$G$21,0)</f>
        <v>0</v>
      </c>
      <c r="I46" s="119" t="s">
        <v>206</v>
      </c>
      <c r="J46" s="237">
        <f>Egendom!AI90</f>
        <v>0</v>
      </c>
      <c r="K46" s="119" t="s">
        <v>529</v>
      </c>
      <c r="L46" s="267"/>
      <c r="M46" s="259"/>
      <c r="N46" s="5"/>
      <c r="O46" s="5"/>
      <c r="P46" s="5"/>
      <c r="Q46" s="5"/>
      <c r="R46" s="5"/>
      <c r="S46" s="5"/>
      <c r="T46" s="5"/>
      <c r="U46" s="5"/>
    </row>
    <row r="47" spans="1:29" s="5" customFormat="1" ht="21" x14ac:dyDescent="0.4">
      <c r="A47" s="637"/>
      <c r="B47" s="287"/>
      <c r="C47" s="941" t="s">
        <v>230</v>
      </c>
      <c r="D47" s="942"/>
      <c r="E47" s="262"/>
      <c r="F47" s="276">
        <f>IF('Gårdens info'!$D$21&gt;0,J47/'Gårdens info'!$D$21,0)</f>
        <v>0</v>
      </c>
      <c r="G47" s="119" t="s">
        <v>57</v>
      </c>
      <c r="H47" s="502">
        <f>IF('Gårdens info'!$G$21&gt;0,F47/'Gårdens info'!$G$21,0)</f>
        <v>0</v>
      </c>
      <c r="I47" s="119" t="s">
        <v>206</v>
      </c>
      <c r="J47" s="237">
        <f>Egendom!BS90</f>
        <v>0</v>
      </c>
      <c r="K47" s="119" t="s">
        <v>529</v>
      </c>
      <c r="L47" s="267"/>
      <c r="M47" s="259"/>
    </row>
    <row r="48" spans="1:29" s="5" customFormat="1" ht="17.399999999999999" customHeight="1" x14ac:dyDescent="0.3">
      <c r="A48" s="637"/>
      <c r="B48" s="287"/>
      <c r="C48" s="1108" t="s">
        <v>232</v>
      </c>
      <c r="D48" s="1108"/>
      <c r="E48" s="262"/>
      <c r="F48" s="276">
        <f>IF('Gårdens info'!$D$21&gt;0,J48/'Gårdens info'!$D$21,0)</f>
        <v>0</v>
      </c>
      <c r="G48" s="119" t="s">
        <v>57</v>
      </c>
      <c r="H48" s="502">
        <f>IF('Gårdens info'!$G$21&gt;0,F48/'Gårdens info'!$G$21,0)</f>
        <v>0</v>
      </c>
      <c r="I48" s="119" t="s">
        <v>206</v>
      </c>
      <c r="J48" s="237">
        <f>Egendom!CQ90</f>
        <v>0</v>
      </c>
      <c r="K48" s="119" t="s">
        <v>529</v>
      </c>
      <c r="L48" s="267"/>
      <c r="M48" s="259"/>
      <c r="N48"/>
      <c r="O48"/>
      <c r="P48"/>
      <c r="Q48"/>
      <c r="R48"/>
      <c r="S48"/>
      <c r="T48"/>
      <c r="U48"/>
    </row>
    <row r="49" spans="1:13" s="5" customFormat="1" ht="21" x14ac:dyDescent="0.4">
      <c r="A49" s="637"/>
      <c r="B49" s="287"/>
      <c r="C49" s="941" t="s">
        <v>483</v>
      </c>
      <c r="D49" s="942"/>
      <c r="E49" s="262"/>
      <c r="F49" s="276">
        <f>IF('Gårdens info'!$D$21&gt;0,J49/'Gårdens info'!$D$21,0)</f>
        <v>0</v>
      </c>
      <c r="G49" s="119" t="s">
        <v>57</v>
      </c>
      <c r="H49" s="502">
        <f>IF('Gårdens info'!$G$21&gt;0,F49/'Gårdens info'!$G$21,0)</f>
        <v>0</v>
      </c>
      <c r="I49" s="119" t="s">
        <v>206</v>
      </c>
      <c r="J49" s="237">
        <f>Egendom!DO90</f>
        <v>0</v>
      </c>
      <c r="K49" s="119" t="s">
        <v>529</v>
      </c>
      <c r="L49" s="267"/>
      <c r="M49" s="259"/>
    </row>
    <row r="50" spans="1:13" s="5" customFormat="1" ht="20.399999999999999" x14ac:dyDescent="0.35">
      <c r="A50" s="637"/>
      <c r="B50" s="289"/>
      <c r="C50" s="943" t="s">
        <v>54</v>
      </c>
      <c r="D50" s="944"/>
      <c r="E50" s="262"/>
      <c r="F50" s="280">
        <f>SUM(F46:F49)</f>
        <v>0</v>
      </c>
      <c r="G50" s="119" t="s">
        <v>57</v>
      </c>
      <c r="H50" s="509">
        <f t="shared" ref="H50:J50" si="5">SUM(H46:H49)</f>
        <v>0</v>
      </c>
      <c r="I50" s="119" t="s">
        <v>206</v>
      </c>
      <c r="J50" s="280">
        <f t="shared" si="5"/>
        <v>0</v>
      </c>
      <c r="K50" s="119" t="s">
        <v>529</v>
      </c>
      <c r="L50" s="281"/>
      <c r="M50" s="259"/>
    </row>
    <row r="51" spans="1:13" s="5" customFormat="1" ht="21" x14ac:dyDescent="0.4">
      <c r="A51" s="637"/>
      <c r="B51" s="287"/>
      <c r="C51" s="274"/>
      <c r="D51" s="270"/>
      <c r="E51" s="262"/>
      <c r="F51" s="276"/>
      <c r="G51" s="119"/>
      <c r="H51" s="277"/>
      <c r="I51" s="119"/>
      <c r="J51" s="237"/>
      <c r="K51" s="119"/>
      <c r="L51" s="267"/>
      <c r="M51" s="259"/>
    </row>
    <row r="52" spans="1:13" s="5" customFormat="1" ht="21" x14ac:dyDescent="0.4">
      <c r="A52" s="637"/>
      <c r="B52" s="1084" t="s">
        <v>139</v>
      </c>
      <c r="C52" s="1085"/>
      <c r="D52" s="270"/>
      <c r="E52" s="262"/>
      <c r="F52" s="276"/>
      <c r="G52" s="119"/>
      <c r="H52" s="277"/>
      <c r="I52" s="119"/>
      <c r="J52" s="237"/>
      <c r="K52" s="119"/>
      <c r="L52" s="267"/>
      <c r="M52" s="259"/>
    </row>
    <row r="53" spans="1:13" s="5" customFormat="1" ht="21" x14ac:dyDescent="0.4">
      <c r="A53" s="637"/>
      <c r="B53" s="287"/>
      <c r="C53" s="941" t="s">
        <v>229</v>
      </c>
      <c r="D53" s="942"/>
      <c r="E53" s="262"/>
      <c r="F53" s="276">
        <f>IF('Gårdens info'!$D$21&gt;0,J53/'Gårdens info'!$D$21,0)</f>
        <v>0</v>
      </c>
      <c r="G53" s="119" t="s">
        <v>57</v>
      </c>
      <c r="H53" s="502">
        <f>IF('Gårdens info'!$G$21&gt;0,F53/'Gårdens info'!$G$21,0)</f>
        <v>0</v>
      </c>
      <c r="I53" s="119" t="s">
        <v>206</v>
      </c>
      <c r="J53" s="237">
        <f>Egendom!AI93</f>
        <v>0</v>
      </c>
      <c r="K53" s="119" t="s">
        <v>529</v>
      </c>
      <c r="L53" s="267"/>
      <c r="M53" s="259"/>
    </row>
    <row r="54" spans="1:13" s="5" customFormat="1" ht="19.95" customHeight="1" x14ac:dyDescent="0.4">
      <c r="A54" s="637"/>
      <c r="B54" s="287"/>
      <c r="C54" s="941" t="s">
        <v>230</v>
      </c>
      <c r="D54" s="942"/>
      <c r="E54" s="262"/>
      <c r="F54" s="276">
        <f>IF('Gårdens info'!$D$21&gt;0,J54/'Gårdens info'!$D$21,0)</f>
        <v>0</v>
      </c>
      <c r="G54" s="119" t="s">
        <v>57</v>
      </c>
      <c r="H54" s="502">
        <f>IF('Gårdens info'!$G$21&gt;0,F54/'Gårdens info'!$G$21,0)</f>
        <v>0</v>
      </c>
      <c r="I54" s="119" t="s">
        <v>206</v>
      </c>
      <c r="J54" s="237">
        <f>Egendom!BS93</f>
        <v>0</v>
      </c>
      <c r="K54" s="119" t="s">
        <v>529</v>
      </c>
      <c r="L54" s="267"/>
      <c r="M54" s="259"/>
    </row>
    <row r="55" spans="1:13" s="5" customFormat="1" ht="17.399999999999999" customHeight="1" x14ac:dyDescent="0.3">
      <c r="A55" s="637"/>
      <c r="B55" s="287"/>
      <c r="C55" s="1108" t="s">
        <v>232</v>
      </c>
      <c r="D55" s="1108"/>
      <c r="E55" s="262"/>
      <c r="F55" s="276">
        <f>IF('Gårdens info'!$D$21&gt;0,J55/'Gårdens info'!$D$21,0)</f>
        <v>0</v>
      </c>
      <c r="G55" s="119" t="s">
        <v>57</v>
      </c>
      <c r="H55" s="502">
        <f>IF('Gårdens info'!$G$21&gt;0,F55/'Gårdens info'!$G$21,0)</f>
        <v>0</v>
      </c>
      <c r="I55" s="119" t="s">
        <v>206</v>
      </c>
      <c r="J55" s="237">
        <f>Egendom!CQ93</f>
        <v>0</v>
      </c>
      <c r="K55" s="119" t="s">
        <v>529</v>
      </c>
      <c r="L55" s="267"/>
      <c r="M55" s="259"/>
    </row>
    <row r="56" spans="1:13" s="5" customFormat="1" ht="15.6" x14ac:dyDescent="0.3">
      <c r="A56" s="637"/>
      <c r="B56" s="286"/>
      <c r="C56" s="261" t="s">
        <v>54</v>
      </c>
      <c r="D56" s="261"/>
      <c r="E56" s="261"/>
      <c r="F56" s="280">
        <f>SUM(F53:F55)</f>
        <v>0</v>
      </c>
      <c r="G56" s="119" t="s">
        <v>57</v>
      </c>
      <c r="H56" s="509">
        <f t="shared" ref="H56:J56" si="6">SUM(H53:H55)</f>
        <v>0</v>
      </c>
      <c r="I56" s="119" t="s">
        <v>206</v>
      </c>
      <c r="J56" s="280">
        <f t="shared" si="6"/>
        <v>0</v>
      </c>
      <c r="K56" s="119" t="s">
        <v>529</v>
      </c>
      <c r="L56" s="284"/>
      <c r="M56" s="290"/>
    </row>
    <row r="57" spans="1:13" s="5" customFormat="1" ht="21" customHeight="1" x14ac:dyDescent="0.4">
      <c r="A57" s="637"/>
      <c r="B57" s="1061" t="s">
        <v>191</v>
      </c>
      <c r="C57" s="1043"/>
      <c r="D57" s="1043"/>
      <c r="E57" s="262"/>
      <c r="F57" s="266">
        <f>F36+F43+F50+F56</f>
        <v>0</v>
      </c>
      <c r="G57" s="267" t="s">
        <v>57</v>
      </c>
      <c r="H57" s="507">
        <f>H36+H43+H50+H56</f>
        <v>0</v>
      </c>
      <c r="I57" s="267" t="s">
        <v>206</v>
      </c>
      <c r="J57" s="269">
        <f>J36+J43+J50+J56</f>
        <v>0</v>
      </c>
      <c r="K57" s="267" t="s">
        <v>529</v>
      </c>
      <c r="L57" s="267"/>
      <c r="M57" s="259"/>
    </row>
    <row r="58" spans="1:13" s="5" customFormat="1" ht="15.6" x14ac:dyDescent="0.3">
      <c r="A58" s="637"/>
      <c r="B58" s="286"/>
      <c r="C58" s="262"/>
      <c r="D58" s="262"/>
      <c r="E58" s="262"/>
      <c r="F58" s="263"/>
      <c r="G58" s="243"/>
      <c r="H58" s="264"/>
      <c r="I58" s="243"/>
      <c r="J58" s="258"/>
      <c r="K58" s="243"/>
      <c r="L58" s="265"/>
      <c r="M58" s="259"/>
    </row>
    <row r="59" spans="1:13" s="5" customFormat="1" ht="21" x14ac:dyDescent="0.4">
      <c r="A59" s="637"/>
      <c r="B59" s="257" t="s">
        <v>192</v>
      </c>
      <c r="C59" s="262"/>
      <c r="D59" s="262"/>
      <c r="E59" s="262"/>
      <c r="F59" s="263"/>
      <c r="G59" s="243"/>
      <c r="H59" s="264"/>
      <c r="I59" s="243"/>
      <c r="J59" s="258"/>
      <c r="K59" s="243"/>
      <c r="L59" s="265"/>
      <c r="M59" s="259"/>
    </row>
    <row r="60" spans="1:13" s="5" customFormat="1" ht="15" x14ac:dyDescent="0.25">
      <c r="A60" s="637"/>
      <c r="B60" s="235"/>
      <c r="C60" s="228" t="s">
        <v>192</v>
      </c>
      <c r="D60" s="236"/>
      <c r="E60" s="236"/>
      <c r="F60" s="237">
        <f>IF('Gårdens info'!D21&gt;0,H169,0)</f>
        <v>0</v>
      </c>
      <c r="G60" s="119" t="s">
        <v>57</v>
      </c>
      <c r="H60" s="503">
        <f>IF('Gårdens info'!G21&gt;0,F60/'Gårdens info'!$G$21,0)</f>
        <v>0</v>
      </c>
      <c r="I60" s="119" t="s">
        <v>206</v>
      </c>
      <c r="J60" s="237">
        <f>F60*'Gårdens info'!D21</f>
        <v>0</v>
      </c>
      <c r="K60" s="119" t="s">
        <v>529</v>
      </c>
      <c r="L60" s="236"/>
      <c r="M60" s="239"/>
    </row>
    <row r="61" spans="1:13" s="5" customFormat="1" ht="17.399999999999999" x14ac:dyDescent="0.3">
      <c r="A61" s="637"/>
      <c r="B61" s="248"/>
      <c r="C61" s="245"/>
      <c r="D61" s="249"/>
      <c r="E61" s="249"/>
      <c r="F61" s="250"/>
      <c r="G61" s="120"/>
      <c r="H61" s="249"/>
      <c r="I61" s="249"/>
      <c r="J61" s="249"/>
      <c r="K61" s="249"/>
      <c r="L61" s="249"/>
      <c r="M61" s="234"/>
    </row>
    <row r="62" spans="1:13" s="5" customFormat="1" ht="21" customHeight="1" x14ac:dyDescent="0.4">
      <c r="A62" s="637"/>
      <c r="B62" s="345" t="s">
        <v>194</v>
      </c>
      <c r="C62" s="346"/>
      <c r="D62" s="346"/>
      <c r="E62" s="262"/>
      <c r="F62" s="266">
        <f>F60</f>
        <v>0</v>
      </c>
      <c r="G62" s="267" t="s">
        <v>57</v>
      </c>
      <c r="H62" s="507">
        <f>H60</f>
        <v>0</v>
      </c>
      <c r="I62" s="267" t="s">
        <v>206</v>
      </c>
      <c r="J62" s="269">
        <f>J60</f>
        <v>0</v>
      </c>
      <c r="K62" s="267" t="s">
        <v>529</v>
      </c>
      <c r="L62" s="267"/>
      <c r="M62" s="259"/>
    </row>
    <row r="63" spans="1:13" s="5" customFormat="1" ht="21" x14ac:dyDescent="0.4">
      <c r="A63" s="637"/>
      <c r="B63" s="288"/>
      <c r="C63" s="270"/>
      <c r="D63" s="270"/>
      <c r="E63" s="262"/>
      <c r="F63" s="266"/>
      <c r="G63" s="267"/>
      <c r="H63" s="507"/>
      <c r="I63" s="267"/>
      <c r="J63" s="269"/>
      <c r="K63" s="267"/>
      <c r="L63" s="267"/>
      <c r="M63" s="259"/>
    </row>
    <row r="64" spans="1:13" s="5" customFormat="1" ht="21" customHeight="1" x14ac:dyDescent="0.4">
      <c r="A64" s="637"/>
      <c r="B64" s="1061" t="s">
        <v>195</v>
      </c>
      <c r="C64" s="1043"/>
      <c r="D64" s="1043"/>
      <c r="E64" s="262"/>
      <c r="F64" s="266">
        <f>F28+F57+F62</f>
        <v>0</v>
      </c>
      <c r="G64" s="267" t="s">
        <v>57</v>
      </c>
      <c r="H64" s="572">
        <f>H28+H57+H62</f>
        <v>0</v>
      </c>
      <c r="I64" s="267" t="s">
        <v>206</v>
      </c>
      <c r="J64" s="266">
        <f>J28+J57+J62</f>
        <v>0</v>
      </c>
      <c r="K64" s="267" t="s">
        <v>529</v>
      </c>
      <c r="L64" s="267"/>
      <c r="M64" s="259"/>
    </row>
    <row r="65" spans="1:21" s="5" customFormat="1" ht="21" x14ac:dyDescent="0.4">
      <c r="A65" s="637"/>
      <c r="B65" s="288"/>
      <c r="C65" s="270"/>
      <c r="D65" s="270"/>
      <c r="E65" s="262"/>
      <c r="F65" s="266"/>
      <c r="G65" s="267"/>
      <c r="H65" s="268"/>
      <c r="I65" s="267"/>
      <c r="J65" s="269"/>
      <c r="K65" s="267"/>
      <c r="L65" s="267"/>
      <c r="M65" s="259"/>
    </row>
    <row r="66" spans="1:21" s="5" customFormat="1" ht="21.6" customHeight="1" thickBot="1" x14ac:dyDescent="0.45">
      <c r="A66" s="637"/>
      <c r="B66" s="1059" t="s">
        <v>198</v>
      </c>
      <c r="C66" s="1060"/>
      <c r="D66" s="1060"/>
      <c r="E66" s="253"/>
      <c r="F66" s="292">
        <f>F11-F28-F57-F62</f>
        <v>0</v>
      </c>
      <c r="G66" s="293" t="s">
        <v>57</v>
      </c>
      <c r="H66" s="510">
        <f>H11-H28-H57-H62</f>
        <v>0</v>
      </c>
      <c r="I66" s="293" t="s">
        <v>206</v>
      </c>
      <c r="J66" s="292">
        <f>J11-J28-J57-J62</f>
        <v>0</v>
      </c>
      <c r="K66" s="293" t="s">
        <v>529</v>
      </c>
      <c r="L66" s="293"/>
      <c r="M66" s="254"/>
    </row>
    <row r="67" spans="1:21" s="5" customFormat="1" ht="21" x14ac:dyDescent="0.4">
      <c r="A67" s="637"/>
      <c r="B67" s="55"/>
      <c r="C67"/>
      <c r="D67"/>
      <c r="E67"/>
      <c r="F67"/>
      <c r="G67"/>
      <c r="H67"/>
      <c r="I67"/>
      <c r="J67"/>
      <c r="K67"/>
      <c r="L67"/>
      <c r="M67"/>
    </row>
    <row r="68" spans="1:21" s="194" customFormat="1" ht="16.2" thickBot="1" x14ac:dyDescent="0.35">
      <c r="A68" s="641"/>
      <c r="B68"/>
      <c r="C68"/>
      <c r="D68"/>
      <c r="E68"/>
      <c r="F68"/>
      <c r="G68"/>
      <c r="H68"/>
      <c r="I68"/>
      <c r="J68"/>
      <c r="K68"/>
      <c r="L68"/>
      <c r="M68"/>
      <c r="N68" s="5"/>
      <c r="O68" s="5"/>
      <c r="P68" s="5"/>
      <c r="Q68" s="5"/>
      <c r="R68" s="5"/>
      <c r="S68" s="5"/>
      <c r="T68" s="5"/>
      <c r="U68" s="5"/>
    </row>
    <row r="69" spans="1:21" s="5" customFormat="1" ht="21.6" customHeight="1" thickBot="1" x14ac:dyDescent="0.45">
      <c r="A69" s="637"/>
      <c r="B69" s="1078" t="s">
        <v>240</v>
      </c>
      <c r="C69" s="1079"/>
      <c r="D69" s="1079"/>
      <c r="E69" s="1080"/>
      <c r="F69"/>
      <c r="G69"/>
      <c r="H69"/>
      <c r="I69"/>
      <c r="J69"/>
      <c r="K69"/>
      <c r="L69" s="1073" t="s">
        <v>241</v>
      </c>
      <c r="M69" s="1073"/>
    </row>
    <row r="70" spans="1:21" s="5" customFormat="1" ht="21" x14ac:dyDescent="0.4">
      <c r="A70" s="637"/>
      <c r="B70" s="334"/>
      <c r="C70" s="334"/>
      <c r="D70" s="334"/>
      <c r="E70" s="334"/>
      <c r="F70" s="116"/>
      <c r="G70" s="116"/>
      <c r="H70" s="116"/>
      <c r="I70" s="116"/>
      <c r="J70" s="116"/>
      <c r="K70" s="116"/>
      <c r="L70" s="461"/>
      <c r="M70" s="461"/>
    </row>
    <row r="71" spans="1:21" ht="15.6" x14ac:dyDescent="0.3">
      <c r="B71" s="89" t="s">
        <v>242</v>
      </c>
      <c r="C71" s="44"/>
      <c r="D71" s="44"/>
      <c r="E71" s="44"/>
      <c r="F71" s="1077" t="s">
        <v>114</v>
      </c>
      <c r="G71" s="1077"/>
      <c r="H71" s="1077" t="s">
        <v>113</v>
      </c>
      <c r="I71" s="1077"/>
      <c r="J71" s="1077" t="s">
        <v>243</v>
      </c>
      <c r="K71" s="1077"/>
      <c r="L71" s="111" t="s">
        <v>244</v>
      </c>
      <c r="M71" s="46"/>
    </row>
    <row r="72" spans="1:21" ht="13.8" thickBot="1" x14ac:dyDescent="0.3">
      <c r="B72" s="48"/>
      <c r="C72" s="44"/>
      <c r="D72" s="44"/>
      <c r="E72" s="44"/>
      <c r="F72" s="44"/>
      <c r="G72" s="44"/>
      <c r="H72" s="44"/>
      <c r="I72" s="44"/>
      <c r="J72" s="46"/>
      <c r="K72" s="46"/>
      <c r="L72" s="46"/>
      <c r="M72" s="46"/>
    </row>
    <row r="73" spans="1:21" ht="13.8" thickBot="1" x14ac:dyDescent="0.3">
      <c r="B73" s="44"/>
      <c r="C73" s="45" t="s">
        <v>382</v>
      </c>
      <c r="D73" s="46"/>
      <c r="E73" s="44"/>
      <c r="F73" s="74">
        <v>30000</v>
      </c>
      <c r="G73" s="44" t="s">
        <v>357</v>
      </c>
      <c r="H73" s="74">
        <v>4.4999999999999998E-2</v>
      </c>
      <c r="I73" s="49" t="s">
        <v>246</v>
      </c>
      <c r="J73" s="191">
        <f>F73*H73</f>
        <v>1350</v>
      </c>
      <c r="K73" s="44" t="s">
        <v>57</v>
      </c>
      <c r="L73" s="44"/>
      <c r="M73" s="46"/>
    </row>
    <row r="74" spans="1:21" s="5" customFormat="1" x14ac:dyDescent="0.25">
      <c r="A74" s="637"/>
      <c r="B74" s="50"/>
      <c r="C74" s="50" t="s">
        <v>54</v>
      </c>
      <c r="D74" s="466"/>
      <c r="E74" s="50"/>
      <c r="F74" s="218"/>
      <c r="G74" s="50"/>
      <c r="H74" s="467"/>
      <c r="I74" s="219"/>
      <c r="J74" s="220"/>
      <c r="K74" s="50"/>
      <c r="L74" s="50"/>
      <c r="M74" s="50"/>
    </row>
    <row r="75" spans="1:21" x14ac:dyDescent="0.25">
      <c r="B75" s="435"/>
      <c r="C75" s="435"/>
      <c r="D75" s="464"/>
      <c r="E75" s="435"/>
      <c r="F75" s="465"/>
      <c r="G75" s="435"/>
      <c r="H75" s="246"/>
      <c r="I75" s="437"/>
      <c r="J75" s="232"/>
      <c r="K75" s="435"/>
      <c r="L75" s="116"/>
      <c r="M75" s="116"/>
    </row>
    <row r="76" spans="1:21" s="5" customFormat="1" ht="15.6" x14ac:dyDescent="0.3">
      <c r="A76" s="637"/>
      <c r="B76" s="96" t="s">
        <v>494</v>
      </c>
      <c r="C76" s="97"/>
      <c r="D76" s="97"/>
      <c r="E76" s="97"/>
      <c r="F76" s="1074" t="s">
        <v>114</v>
      </c>
      <c r="G76" s="1074"/>
      <c r="H76" s="1074" t="s">
        <v>113</v>
      </c>
      <c r="I76" s="1074"/>
      <c r="J76" s="1074" t="s">
        <v>243</v>
      </c>
      <c r="K76" s="1074"/>
      <c r="L76" s="99"/>
      <c r="M76" s="99"/>
    </row>
    <row r="77" spans="1:21" s="56" customFormat="1" ht="18" thickBot="1" x14ac:dyDescent="0.35">
      <c r="A77" s="639"/>
      <c r="B77" s="97"/>
      <c r="C77" s="97"/>
      <c r="D77" s="97"/>
      <c r="E77" s="97"/>
      <c r="F77" s="97"/>
      <c r="G77" s="97"/>
      <c r="H77" s="98"/>
      <c r="I77" s="98"/>
      <c r="J77" s="99"/>
      <c r="K77" s="99"/>
      <c r="L77" s="99"/>
      <c r="M77" s="99"/>
      <c r="N77" s="5"/>
      <c r="O77" s="5"/>
      <c r="P77" s="5"/>
      <c r="Q77" s="5"/>
      <c r="R77" s="5"/>
      <c r="S77" s="5"/>
      <c r="T77" s="5"/>
      <c r="U77" s="5"/>
    </row>
    <row r="78" spans="1:21" s="69" customFormat="1" ht="15.6" thickBot="1" x14ac:dyDescent="0.3">
      <c r="A78" s="638"/>
      <c r="B78" s="97"/>
      <c r="C78" s="97" t="s">
        <v>391</v>
      </c>
      <c r="D78" s="99"/>
      <c r="E78" s="97"/>
      <c r="F78" s="94">
        <v>800</v>
      </c>
      <c r="G78" s="97" t="s">
        <v>212</v>
      </c>
      <c r="H78" s="77">
        <v>0.75</v>
      </c>
      <c r="I78" s="98" t="s">
        <v>206</v>
      </c>
      <c r="J78" s="100">
        <f>F78*H78</f>
        <v>600</v>
      </c>
      <c r="K78" s="97" t="s">
        <v>57</v>
      </c>
      <c r="L78" s="99"/>
      <c r="M78" s="99"/>
      <c r="N78" s="5"/>
      <c r="O78" s="5"/>
      <c r="P78" s="5"/>
      <c r="Q78" s="5"/>
      <c r="R78" s="5"/>
      <c r="S78" s="5"/>
      <c r="T78" s="5"/>
      <c r="U78" s="5"/>
    </row>
    <row r="79" spans="1:21" s="56" customFormat="1" ht="18" thickBot="1" x14ac:dyDescent="0.35">
      <c r="A79" s="639"/>
      <c r="B79" s="97"/>
      <c r="C79" s="97" t="s">
        <v>360</v>
      </c>
      <c r="D79" s="99"/>
      <c r="E79" s="97"/>
      <c r="F79" s="74">
        <v>500</v>
      </c>
      <c r="G79" s="97" t="s">
        <v>212</v>
      </c>
      <c r="H79" s="77">
        <v>0.4</v>
      </c>
      <c r="I79" s="98" t="s">
        <v>206</v>
      </c>
      <c r="J79" s="100">
        <f t="shared" ref="J79:J82" si="7">F79*H79</f>
        <v>200</v>
      </c>
      <c r="K79" s="97" t="s">
        <v>57</v>
      </c>
      <c r="L79" s="99"/>
      <c r="M79" s="99"/>
      <c r="N79" s="69"/>
      <c r="O79" s="69"/>
      <c r="P79" s="69"/>
      <c r="Q79" s="69"/>
      <c r="R79" s="69"/>
      <c r="S79" s="69"/>
      <c r="T79" s="69"/>
      <c r="U79" s="69"/>
    </row>
    <row r="80" spans="1:21" s="69" customFormat="1" ht="15.6" thickBot="1" x14ac:dyDescent="0.3">
      <c r="A80" s="638"/>
      <c r="B80" s="97"/>
      <c r="C80" s="945" t="s">
        <v>361</v>
      </c>
      <c r="D80" s="99"/>
      <c r="E80" s="97"/>
      <c r="F80" s="74">
        <v>2000</v>
      </c>
      <c r="G80" s="97" t="s">
        <v>212</v>
      </c>
      <c r="H80" s="77">
        <v>0.46</v>
      </c>
      <c r="I80" s="98" t="s">
        <v>206</v>
      </c>
      <c r="J80" s="100">
        <f t="shared" si="7"/>
        <v>920</v>
      </c>
      <c r="K80" s="97" t="s">
        <v>57</v>
      </c>
      <c r="L80" s="99"/>
      <c r="M80" s="99"/>
      <c r="N80" s="5"/>
      <c r="O80" s="5"/>
      <c r="P80" s="5"/>
      <c r="Q80" s="5"/>
      <c r="R80" s="5"/>
      <c r="S80" s="5"/>
      <c r="T80" s="5"/>
      <c r="U80" s="5"/>
    </row>
    <row r="81" spans="1:21" s="56" customFormat="1" ht="18" thickBot="1" x14ac:dyDescent="0.35">
      <c r="A81" s="639"/>
      <c r="B81" s="97"/>
      <c r="C81" s="945" t="s">
        <v>251</v>
      </c>
      <c r="D81" s="97"/>
      <c r="E81" s="97"/>
      <c r="F81" s="74"/>
      <c r="G81" s="97" t="s">
        <v>212</v>
      </c>
      <c r="H81" s="77"/>
      <c r="I81" s="98" t="s">
        <v>206</v>
      </c>
      <c r="J81" s="100">
        <f t="shared" si="7"/>
        <v>0</v>
      </c>
      <c r="K81" s="97" t="s">
        <v>57</v>
      </c>
      <c r="L81" s="99"/>
      <c r="M81" s="99"/>
    </row>
    <row r="82" spans="1:21" ht="15.6" thickBot="1" x14ac:dyDescent="0.3">
      <c r="B82" s="97"/>
      <c r="C82" s="945" t="s">
        <v>251</v>
      </c>
      <c r="D82" s="97"/>
      <c r="E82" s="97"/>
      <c r="F82" s="74"/>
      <c r="G82" s="97" t="s">
        <v>212</v>
      </c>
      <c r="H82" s="77"/>
      <c r="I82" s="98" t="s">
        <v>206</v>
      </c>
      <c r="J82" s="100">
        <f t="shared" si="7"/>
        <v>0</v>
      </c>
      <c r="K82" s="97" t="s">
        <v>57</v>
      </c>
      <c r="L82" s="99"/>
      <c r="M82" s="99"/>
      <c r="N82" s="69"/>
      <c r="O82" s="69"/>
      <c r="P82" s="69"/>
      <c r="Q82" s="69"/>
      <c r="R82" s="69"/>
      <c r="S82" s="69"/>
      <c r="T82" s="69"/>
      <c r="U82" s="69"/>
    </row>
    <row r="83" spans="1:21" s="69" customFormat="1" ht="17.399999999999999" x14ac:dyDescent="0.3">
      <c r="A83" s="638"/>
      <c r="B83" s="214"/>
      <c r="C83" s="214" t="s">
        <v>54</v>
      </c>
      <c r="D83" s="214"/>
      <c r="E83" s="214"/>
      <c r="F83" s="214"/>
      <c r="G83" s="214"/>
      <c r="H83" s="214"/>
      <c r="I83" s="215"/>
      <c r="J83" s="216">
        <f>SUM(J78:J82)</f>
        <v>1720</v>
      </c>
      <c r="K83" s="214" t="s">
        <v>57</v>
      </c>
      <c r="L83" s="214"/>
      <c r="M83" s="214"/>
      <c r="N83" s="56"/>
      <c r="O83" s="56"/>
      <c r="P83" s="56"/>
      <c r="Q83" s="56"/>
      <c r="R83" s="56"/>
      <c r="S83" s="56"/>
      <c r="T83" s="56"/>
      <c r="U83" s="56"/>
    </row>
    <row r="84" spans="1:21" s="5" customFormat="1" x14ac:dyDescent="0.25">
      <c r="A84" s="637"/>
      <c r="B84" s="97"/>
      <c r="C84" s="97"/>
      <c r="D84" s="97"/>
      <c r="E84" s="97"/>
      <c r="F84" s="97"/>
      <c r="G84" s="97"/>
      <c r="H84" s="97"/>
      <c r="I84" s="98"/>
      <c r="J84" s="100"/>
      <c r="K84" s="97"/>
      <c r="L84" s="99"/>
      <c r="M84" s="99"/>
      <c r="N84"/>
      <c r="O84"/>
      <c r="P84"/>
      <c r="Q84"/>
      <c r="R84"/>
      <c r="S84"/>
      <c r="T84"/>
      <c r="U84"/>
    </row>
    <row r="85" spans="1:21" s="5" customFormat="1" ht="15" x14ac:dyDescent="0.25">
      <c r="A85" s="637"/>
      <c r="B85"/>
      <c r="C85"/>
      <c r="D85"/>
      <c r="E85"/>
      <c r="F85"/>
      <c r="G85"/>
      <c r="H85"/>
      <c r="I85"/>
      <c r="J85"/>
      <c r="K85"/>
      <c r="L85"/>
      <c r="M85"/>
      <c r="N85" s="69"/>
      <c r="O85" s="69"/>
      <c r="P85" s="69"/>
      <c r="Q85" s="69"/>
      <c r="R85" s="69"/>
      <c r="S85" s="69"/>
      <c r="T85" s="69"/>
      <c r="U85" s="69"/>
    </row>
    <row r="86" spans="1:21" s="5" customFormat="1" ht="15.6" x14ac:dyDescent="0.3">
      <c r="A86" s="637"/>
      <c r="B86" s="85" t="s">
        <v>252</v>
      </c>
      <c r="C86" s="51"/>
      <c r="D86" s="51"/>
      <c r="E86" s="51"/>
      <c r="F86" s="1075" t="s">
        <v>114</v>
      </c>
      <c r="G86" s="1075"/>
      <c r="H86" s="1076" t="s">
        <v>113</v>
      </c>
      <c r="I86" s="1076"/>
      <c r="J86" s="1075" t="s">
        <v>243</v>
      </c>
      <c r="K86" s="1075"/>
      <c r="L86" s="58"/>
      <c r="M86" s="58"/>
    </row>
    <row r="87" spans="1:21" x14ac:dyDescent="0.25">
      <c r="B87" s="51"/>
      <c r="C87" s="51"/>
      <c r="D87" s="51"/>
      <c r="E87" s="51"/>
      <c r="F87" s="53"/>
      <c r="G87" s="53"/>
      <c r="H87" s="52"/>
      <c r="I87" s="52"/>
      <c r="J87" s="52"/>
      <c r="K87" s="58"/>
      <c r="L87" s="58"/>
      <c r="M87" s="58"/>
      <c r="N87" s="5"/>
      <c r="O87" s="5"/>
      <c r="P87" s="5"/>
      <c r="Q87" s="5"/>
      <c r="R87" s="5"/>
      <c r="S87" s="5"/>
      <c r="T87" s="5"/>
      <c r="U87" s="5"/>
    </row>
    <row r="88" spans="1:21" ht="15.6" x14ac:dyDescent="0.3">
      <c r="B88" s="85"/>
      <c r="C88" s="51"/>
      <c r="D88" s="387" t="s">
        <v>495</v>
      </c>
      <c r="E88" s="51"/>
      <c r="F88" s="59"/>
      <c r="G88" s="59"/>
      <c r="H88" s="60"/>
      <c r="I88" s="60"/>
      <c r="J88" s="59"/>
      <c r="K88" s="59"/>
      <c r="L88" s="58"/>
      <c r="M88" s="58"/>
    </row>
    <row r="89" spans="1:21" ht="13.8" thickBot="1" x14ac:dyDescent="0.3">
      <c r="B89" s="171" t="s">
        <v>254</v>
      </c>
      <c r="C89" s="51"/>
      <c r="D89" s="51"/>
      <c r="E89" s="51"/>
      <c r="F89" s="53"/>
      <c r="G89" s="53"/>
      <c r="H89" s="52"/>
      <c r="I89" s="52"/>
      <c r="J89" s="58"/>
      <c r="K89" s="58"/>
      <c r="L89" s="58"/>
      <c r="M89" s="58"/>
    </row>
    <row r="90" spans="1:21" ht="13.8" thickBot="1" x14ac:dyDescent="0.3">
      <c r="B90" s="51"/>
      <c r="C90" s="51" t="s">
        <v>541</v>
      </c>
      <c r="D90" s="58"/>
      <c r="E90" s="51"/>
      <c r="F90" s="95">
        <v>2</v>
      </c>
      <c r="G90" s="53" t="s">
        <v>256</v>
      </c>
      <c r="H90" s="77">
        <v>18.8</v>
      </c>
      <c r="I90" s="52" t="s">
        <v>257</v>
      </c>
      <c r="J90" s="58">
        <f>F90*H90</f>
        <v>37.6</v>
      </c>
      <c r="K90" s="51" t="s">
        <v>57</v>
      </c>
      <c r="L90" s="58"/>
      <c r="M90" s="58"/>
    </row>
    <row r="91" spans="1:21" ht="13.8" thickBot="1" x14ac:dyDescent="0.3">
      <c r="B91" s="51"/>
      <c r="C91" s="51" t="s">
        <v>488</v>
      </c>
      <c r="D91" s="58"/>
      <c r="E91" s="51"/>
      <c r="F91" s="95">
        <v>0.1</v>
      </c>
      <c r="G91" s="53" t="s">
        <v>256</v>
      </c>
      <c r="H91" s="77">
        <v>39.200000000000003</v>
      </c>
      <c r="I91" s="52" t="s">
        <v>206</v>
      </c>
      <c r="J91" s="58">
        <f t="shared" ref="J91:J95" si="8">F91*H91</f>
        <v>3.9200000000000004</v>
      </c>
      <c r="K91" s="51" t="s">
        <v>57</v>
      </c>
      <c r="L91" s="58"/>
      <c r="M91" s="58"/>
    </row>
    <row r="92" spans="1:21" ht="13.8" thickBot="1" x14ac:dyDescent="0.3">
      <c r="B92" s="51"/>
      <c r="C92" s="51" t="s">
        <v>542</v>
      </c>
      <c r="D92" s="58"/>
      <c r="E92" s="51"/>
      <c r="F92" s="95">
        <v>0.3</v>
      </c>
      <c r="G92" s="53" t="s">
        <v>256</v>
      </c>
      <c r="H92" s="77">
        <v>48</v>
      </c>
      <c r="I92" s="52" t="s">
        <v>257</v>
      </c>
      <c r="J92" s="58">
        <f t="shared" si="8"/>
        <v>14.399999999999999</v>
      </c>
      <c r="K92" s="51" t="s">
        <v>57</v>
      </c>
      <c r="L92" s="58"/>
      <c r="M92" s="58"/>
    </row>
    <row r="93" spans="1:21" ht="13.8" thickBot="1" x14ac:dyDescent="0.3">
      <c r="B93" s="51"/>
      <c r="C93" s="51" t="s">
        <v>520</v>
      </c>
      <c r="D93" s="58"/>
      <c r="E93" s="51"/>
      <c r="F93" s="95"/>
      <c r="G93" s="53" t="s">
        <v>256</v>
      </c>
      <c r="H93" s="77"/>
      <c r="I93" s="52" t="s">
        <v>257</v>
      </c>
      <c r="J93" s="58">
        <f t="shared" si="8"/>
        <v>0</v>
      </c>
      <c r="K93" s="51" t="s">
        <v>57</v>
      </c>
      <c r="L93" s="58"/>
      <c r="M93" s="58"/>
    </row>
    <row r="94" spans="1:21" ht="13.8" thickBot="1" x14ac:dyDescent="0.3">
      <c r="B94" s="51"/>
      <c r="C94" s="51" t="s">
        <v>520</v>
      </c>
      <c r="D94" s="51"/>
      <c r="E94" s="51"/>
      <c r="F94" s="95"/>
      <c r="G94" s="53" t="s">
        <v>256</v>
      </c>
      <c r="H94" s="77"/>
      <c r="I94" s="52" t="s">
        <v>257</v>
      </c>
      <c r="J94" s="58">
        <f t="shared" si="8"/>
        <v>0</v>
      </c>
      <c r="K94" s="51" t="s">
        <v>57</v>
      </c>
      <c r="L94" s="58"/>
      <c r="M94" s="58"/>
    </row>
    <row r="95" spans="1:21" ht="13.8" thickBot="1" x14ac:dyDescent="0.3">
      <c r="B95" s="51"/>
      <c r="C95" s="51" t="s">
        <v>520</v>
      </c>
      <c r="D95" s="51"/>
      <c r="E95" s="51"/>
      <c r="F95" s="95"/>
      <c r="G95" s="53" t="s">
        <v>256</v>
      </c>
      <c r="H95" s="77"/>
      <c r="I95" s="52" t="s">
        <v>257</v>
      </c>
      <c r="J95" s="58">
        <f t="shared" si="8"/>
        <v>0</v>
      </c>
      <c r="K95" s="51" t="s">
        <v>57</v>
      </c>
      <c r="L95" s="58"/>
      <c r="M95" s="58"/>
    </row>
    <row r="96" spans="1:21" x14ac:dyDescent="0.25">
      <c r="B96" s="51"/>
      <c r="C96" s="51"/>
      <c r="D96" s="51"/>
      <c r="E96" s="51"/>
      <c r="F96" s="53"/>
      <c r="G96" s="53"/>
      <c r="H96" s="52"/>
      <c r="I96" s="52"/>
      <c r="J96" s="58"/>
      <c r="K96" s="51"/>
      <c r="L96" s="58"/>
      <c r="M96" s="58"/>
    </row>
    <row r="97" spans="1:13" ht="13.8" thickBot="1" x14ac:dyDescent="0.3">
      <c r="B97" s="171" t="s">
        <v>266</v>
      </c>
      <c r="C97" s="51"/>
      <c r="D97" s="51"/>
      <c r="E97" s="51"/>
      <c r="F97" s="53"/>
      <c r="G97" s="53"/>
      <c r="H97" s="52"/>
      <c r="I97" s="52"/>
      <c r="J97" s="58"/>
      <c r="K97" s="51"/>
      <c r="L97" s="58"/>
      <c r="M97" s="58"/>
    </row>
    <row r="98" spans="1:13" ht="13.8" thickBot="1" x14ac:dyDescent="0.3">
      <c r="B98" s="51"/>
      <c r="C98" s="51" t="s">
        <v>521</v>
      </c>
      <c r="D98" s="51"/>
      <c r="E98" s="51"/>
      <c r="F98" s="95"/>
      <c r="G98" s="53" t="s">
        <v>256</v>
      </c>
      <c r="H98" s="95"/>
      <c r="I98" s="52" t="s">
        <v>257</v>
      </c>
      <c r="J98" s="58">
        <f t="shared" ref="J98:J101" si="9">F98*H98</f>
        <v>0</v>
      </c>
      <c r="K98" s="51" t="s">
        <v>57</v>
      </c>
      <c r="L98" s="58"/>
      <c r="M98" s="58"/>
    </row>
    <row r="99" spans="1:13" ht="13.8" thickBot="1" x14ac:dyDescent="0.3">
      <c r="B99" s="51"/>
      <c r="C99" s="51" t="s">
        <v>521</v>
      </c>
      <c r="D99" s="51"/>
      <c r="E99" s="51"/>
      <c r="F99" s="95"/>
      <c r="G99" s="53" t="s">
        <v>256</v>
      </c>
      <c r="H99" s="95"/>
      <c r="I99" s="52" t="s">
        <v>257</v>
      </c>
      <c r="J99" s="58">
        <f t="shared" si="9"/>
        <v>0</v>
      </c>
      <c r="K99" s="51" t="s">
        <v>57</v>
      </c>
      <c r="L99" s="58"/>
      <c r="M99" s="58"/>
    </row>
    <row r="100" spans="1:13" ht="13.8" thickBot="1" x14ac:dyDescent="0.3">
      <c r="B100" s="51"/>
      <c r="C100" s="51" t="s">
        <v>521</v>
      </c>
      <c r="D100" s="51"/>
      <c r="E100" s="51"/>
      <c r="F100" s="95"/>
      <c r="G100" s="53" t="s">
        <v>256</v>
      </c>
      <c r="H100" s="95"/>
      <c r="I100" s="52" t="s">
        <v>257</v>
      </c>
      <c r="J100" s="58">
        <f t="shared" si="9"/>
        <v>0</v>
      </c>
      <c r="K100" s="51" t="s">
        <v>57</v>
      </c>
      <c r="L100" s="58"/>
      <c r="M100" s="58"/>
    </row>
    <row r="101" spans="1:13" ht="13.8" thickBot="1" x14ac:dyDescent="0.3">
      <c r="B101" s="51"/>
      <c r="C101" s="51" t="s">
        <v>521</v>
      </c>
      <c r="D101" s="51"/>
      <c r="E101" s="51"/>
      <c r="F101" s="95"/>
      <c r="G101" s="53" t="s">
        <v>256</v>
      </c>
      <c r="H101" s="95"/>
      <c r="I101" s="52" t="s">
        <v>257</v>
      </c>
      <c r="J101" s="58">
        <f t="shared" si="9"/>
        <v>0</v>
      </c>
      <c r="K101" s="51" t="s">
        <v>57</v>
      </c>
      <c r="L101" s="58"/>
      <c r="M101" s="58"/>
    </row>
    <row r="102" spans="1:13" s="5" customFormat="1" x14ac:dyDescent="0.25">
      <c r="A102" s="637"/>
      <c r="B102" s="195"/>
      <c r="C102" s="195" t="s">
        <v>54</v>
      </c>
      <c r="D102" s="195"/>
      <c r="E102" s="195"/>
      <c r="F102" s="196"/>
      <c r="G102" s="196"/>
      <c r="H102" s="196"/>
      <c r="I102" s="197"/>
      <c r="J102" s="197">
        <f>SUM(J90:J101)</f>
        <v>55.92</v>
      </c>
      <c r="K102" s="195" t="s">
        <v>57</v>
      </c>
      <c r="L102" s="195"/>
      <c r="M102" s="195"/>
    </row>
    <row r="103" spans="1:13" x14ac:dyDescent="0.25">
      <c r="B103" s="51"/>
      <c r="C103" s="51"/>
      <c r="D103" s="51"/>
      <c r="E103" s="51"/>
      <c r="F103" s="53"/>
      <c r="G103" s="53"/>
      <c r="H103" s="52"/>
      <c r="I103" s="52"/>
      <c r="J103" s="58"/>
      <c r="K103" s="51"/>
      <c r="L103" s="58"/>
      <c r="M103" s="58"/>
    </row>
    <row r="104" spans="1:13" x14ac:dyDescent="0.25">
      <c r="A104" s="642"/>
    </row>
    <row r="105" spans="1:13" ht="15.6" x14ac:dyDescent="0.3">
      <c r="A105" s="642"/>
      <c r="B105" s="86" t="s">
        <v>367</v>
      </c>
      <c r="C105" s="61"/>
      <c r="D105" s="61"/>
      <c r="E105" s="61"/>
      <c r="F105" s="1071" t="s">
        <v>114</v>
      </c>
      <c r="G105" s="1071"/>
      <c r="H105" s="1071" t="s">
        <v>113</v>
      </c>
      <c r="I105" s="1071"/>
      <c r="J105" s="1071" t="s">
        <v>243</v>
      </c>
      <c r="K105" s="1071"/>
      <c r="L105" s="63"/>
      <c r="M105" s="63"/>
    </row>
    <row r="106" spans="1:13" ht="13.8" thickBot="1" x14ac:dyDescent="0.3">
      <c r="A106" s="642"/>
      <c r="B106" s="61"/>
      <c r="C106" s="61"/>
      <c r="D106" s="61"/>
      <c r="E106" s="61"/>
      <c r="F106" s="61"/>
      <c r="G106" s="61"/>
      <c r="H106" s="62"/>
      <c r="I106" s="62"/>
      <c r="J106" s="63"/>
      <c r="K106" s="63"/>
      <c r="L106" s="63"/>
      <c r="M106" s="63"/>
    </row>
    <row r="107" spans="1:13" ht="13.8" thickBot="1" x14ac:dyDescent="0.3">
      <c r="A107" s="642"/>
      <c r="B107" s="61"/>
      <c r="C107" s="61" t="s">
        <v>368</v>
      </c>
      <c r="D107" s="63"/>
      <c r="E107" s="61"/>
      <c r="F107" s="388">
        <f>S10*'Gårdens info'!$G$21/1</f>
        <v>0</v>
      </c>
      <c r="G107" s="61" t="s">
        <v>31</v>
      </c>
      <c r="H107" s="77">
        <v>0.01</v>
      </c>
      <c r="I107" s="62" t="s">
        <v>246</v>
      </c>
      <c r="J107" s="64">
        <f>F107*H107</f>
        <v>0</v>
      </c>
      <c r="K107" s="61" t="s">
        <v>57</v>
      </c>
      <c r="L107" s="63"/>
      <c r="M107" s="63"/>
    </row>
    <row r="108" spans="1:13" ht="13.8" thickBot="1" x14ac:dyDescent="0.3">
      <c r="A108" s="642"/>
      <c r="B108" s="61"/>
      <c r="C108" s="61" t="s">
        <v>369</v>
      </c>
      <c r="D108" s="63"/>
      <c r="E108" s="61"/>
      <c r="F108" s="388">
        <f>S11*'Gårdens info'!$G$21/1</f>
        <v>0</v>
      </c>
      <c r="G108" s="61" t="s">
        <v>31</v>
      </c>
      <c r="H108" s="77">
        <v>0.01</v>
      </c>
      <c r="I108" s="62" t="s">
        <v>246</v>
      </c>
      <c r="J108" s="64">
        <f t="shared" ref="J108:J114" si="10">F108*H108</f>
        <v>0</v>
      </c>
      <c r="K108" s="61" t="s">
        <v>57</v>
      </c>
      <c r="L108" s="63"/>
      <c r="M108" s="63"/>
    </row>
    <row r="109" spans="1:13" ht="13.8" thickBot="1" x14ac:dyDescent="0.3">
      <c r="A109" s="642"/>
      <c r="B109" s="61"/>
      <c r="C109" s="61" t="s">
        <v>270</v>
      </c>
      <c r="D109" s="63"/>
      <c r="E109" s="61"/>
      <c r="F109" s="388">
        <f>S12*'Gårdens info'!$G$21/1</f>
        <v>0</v>
      </c>
      <c r="G109" s="61" t="s">
        <v>31</v>
      </c>
      <c r="H109" s="77">
        <v>0.01</v>
      </c>
      <c r="I109" s="62" t="s">
        <v>246</v>
      </c>
      <c r="J109" s="64">
        <f t="shared" si="10"/>
        <v>0</v>
      </c>
      <c r="K109" s="61" t="s">
        <v>57</v>
      </c>
      <c r="L109" s="63"/>
      <c r="M109" s="63"/>
    </row>
    <row r="110" spans="1:13" ht="13.8" thickBot="1" x14ac:dyDescent="0.3">
      <c r="A110" s="642"/>
      <c r="B110" s="61"/>
      <c r="C110" s="61" t="s">
        <v>271</v>
      </c>
      <c r="D110" s="63"/>
      <c r="E110" s="61"/>
      <c r="F110" s="388">
        <f>S13*'Gårdens info'!$G$21/1</f>
        <v>0</v>
      </c>
      <c r="G110" s="61" t="s">
        <v>31</v>
      </c>
      <c r="H110" s="77">
        <v>0.05</v>
      </c>
      <c r="I110" s="62" t="s">
        <v>246</v>
      </c>
      <c r="J110" s="64">
        <f t="shared" si="10"/>
        <v>0</v>
      </c>
      <c r="K110" s="61" t="s">
        <v>57</v>
      </c>
      <c r="L110" s="63"/>
      <c r="M110" s="63"/>
    </row>
    <row r="111" spans="1:13" ht="13.8" thickBot="1" x14ac:dyDescent="0.3">
      <c r="A111" s="642"/>
      <c r="B111" s="61"/>
      <c r="C111" s="77" t="s">
        <v>523</v>
      </c>
      <c r="D111" s="77"/>
      <c r="E111" s="61" t="s">
        <v>212</v>
      </c>
      <c r="F111" s="388">
        <f>S14*'Gårdens info'!$G$21/1</f>
        <v>0</v>
      </c>
      <c r="G111" s="61" t="s">
        <v>31</v>
      </c>
      <c r="H111" s="77"/>
      <c r="I111" s="62" t="s">
        <v>246</v>
      </c>
      <c r="J111" s="64">
        <f t="shared" si="10"/>
        <v>0</v>
      </c>
      <c r="K111" s="61" t="s">
        <v>57</v>
      </c>
      <c r="L111" s="63"/>
      <c r="M111" s="63"/>
    </row>
    <row r="112" spans="1:13" ht="13.8" thickBot="1" x14ac:dyDescent="0.3">
      <c r="A112" s="642"/>
      <c r="B112" s="61"/>
      <c r="C112" s="77" t="s">
        <v>523</v>
      </c>
      <c r="D112" s="77"/>
      <c r="E112" s="61" t="s">
        <v>212</v>
      </c>
      <c r="F112" s="388">
        <f>S15*'Gårdens info'!$G$21/1</f>
        <v>0</v>
      </c>
      <c r="G112" s="61" t="s">
        <v>31</v>
      </c>
      <c r="H112" s="77"/>
      <c r="I112" s="62" t="s">
        <v>246</v>
      </c>
      <c r="J112" s="64">
        <f t="shared" si="10"/>
        <v>0</v>
      </c>
      <c r="K112" s="61" t="s">
        <v>57</v>
      </c>
      <c r="L112" s="63"/>
      <c r="M112" s="63"/>
    </row>
    <row r="113" spans="1:21" ht="13.8" thickBot="1" x14ac:dyDescent="0.3">
      <c r="A113" s="642"/>
      <c r="B113" s="61"/>
      <c r="C113" s="77" t="s">
        <v>523</v>
      </c>
      <c r="D113" s="77"/>
      <c r="E113" s="61" t="s">
        <v>212</v>
      </c>
      <c r="F113" s="388">
        <f>S16*'Gårdens info'!$G$21/1</f>
        <v>0</v>
      </c>
      <c r="G113" s="61" t="s">
        <v>31</v>
      </c>
      <c r="H113" s="77"/>
      <c r="I113" s="62" t="s">
        <v>246</v>
      </c>
      <c r="J113" s="64">
        <f t="shared" ref="J113" si="11">F113*H113</f>
        <v>0</v>
      </c>
      <c r="K113" s="61" t="s">
        <v>57</v>
      </c>
      <c r="L113" s="63"/>
      <c r="M113" s="63"/>
    </row>
    <row r="114" spans="1:21" ht="13.8" thickBot="1" x14ac:dyDescent="0.3">
      <c r="A114" s="642"/>
      <c r="B114" s="61"/>
      <c r="C114" s="77" t="s">
        <v>523</v>
      </c>
      <c r="D114" s="77"/>
      <c r="E114" s="61" t="s">
        <v>212</v>
      </c>
      <c r="F114" s="388">
        <f>S17*'Gårdens info'!$G$21/1</f>
        <v>0</v>
      </c>
      <c r="G114" s="61" t="s">
        <v>31</v>
      </c>
      <c r="H114" s="77"/>
      <c r="I114" s="62" t="s">
        <v>246</v>
      </c>
      <c r="J114" s="64">
        <f t="shared" si="10"/>
        <v>0</v>
      </c>
      <c r="K114" s="61" t="s">
        <v>57</v>
      </c>
      <c r="L114" s="63"/>
      <c r="M114" s="63"/>
    </row>
    <row r="115" spans="1:21" x14ac:dyDescent="0.25">
      <c r="A115" s="642"/>
      <c r="B115" s="198"/>
      <c r="C115" s="198" t="s">
        <v>54</v>
      </c>
      <c r="D115" s="198"/>
      <c r="E115" s="198"/>
      <c r="F115" s="198"/>
      <c r="G115" s="198"/>
      <c r="H115" s="199"/>
      <c r="I115" s="199"/>
      <c r="J115" s="200">
        <f>SUM(J107:J114)</f>
        <v>0</v>
      </c>
      <c r="K115" s="198" t="s">
        <v>57</v>
      </c>
      <c r="L115" s="198"/>
      <c r="M115" s="198"/>
    </row>
    <row r="116" spans="1:21" x14ac:dyDescent="0.25">
      <c r="A116" s="642"/>
      <c r="B116" s="61"/>
      <c r="C116" s="61"/>
      <c r="D116" s="61"/>
      <c r="E116" s="61"/>
      <c r="F116" s="61"/>
      <c r="G116" s="61"/>
      <c r="H116" s="62"/>
      <c r="I116" s="62"/>
      <c r="J116" s="64"/>
      <c r="K116" s="61"/>
      <c r="L116" s="63"/>
      <c r="M116" s="63"/>
    </row>
    <row r="117" spans="1:21" x14ac:dyDescent="0.25">
      <c r="A117" s="642"/>
    </row>
    <row r="118" spans="1:21" s="5" customFormat="1" ht="15.6" x14ac:dyDescent="0.3">
      <c r="A118" s="643"/>
      <c r="B118" s="87" t="s">
        <v>273</v>
      </c>
      <c r="C118" s="65"/>
      <c r="D118" s="65"/>
      <c r="E118" s="65"/>
      <c r="F118" s="1072" t="s">
        <v>114</v>
      </c>
      <c r="G118" s="1072"/>
      <c r="H118" s="1072" t="s">
        <v>113</v>
      </c>
      <c r="I118" s="1072"/>
      <c r="J118" s="1072" t="s">
        <v>243</v>
      </c>
      <c r="K118" s="1072"/>
      <c r="L118" s="67"/>
      <c r="M118" s="67"/>
      <c r="N118"/>
      <c r="O118"/>
      <c r="P118"/>
      <c r="Q118"/>
      <c r="R118"/>
      <c r="S118"/>
      <c r="T118"/>
      <c r="U118"/>
    </row>
    <row r="119" spans="1:21" ht="13.8" thickBot="1" x14ac:dyDescent="0.3">
      <c r="A119" s="642"/>
      <c r="B119" s="65"/>
      <c r="C119" s="65"/>
      <c r="D119" s="65"/>
      <c r="E119" s="65"/>
      <c r="F119" s="65"/>
      <c r="G119" s="65"/>
      <c r="H119" s="66"/>
      <c r="I119" s="66"/>
      <c r="J119" s="67"/>
      <c r="K119" s="67"/>
      <c r="L119" s="67"/>
      <c r="M119" s="67"/>
    </row>
    <row r="120" spans="1:21" ht="13.8" thickBot="1" x14ac:dyDescent="0.3">
      <c r="A120" s="642"/>
      <c r="B120" s="65"/>
      <c r="C120" s="65" t="s">
        <v>222</v>
      </c>
      <c r="D120" s="67"/>
      <c r="E120" s="65"/>
      <c r="F120" s="74">
        <f>'Gårdens info'!G21*'Gårdens info'!D21*0.9</f>
        <v>0</v>
      </c>
      <c r="G120" s="65" t="s">
        <v>212</v>
      </c>
      <c r="H120" s="77">
        <v>0.02</v>
      </c>
      <c r="I120" s="66" t="s">
        <v>206</v>
      </c>
      <c r="J120" s="68">
        <f t="shared" ref="J120:J122" si="12">F120*H120</f>
        <v>0</v>
      </c>
      <c r="K120" s="65" t="s">
        <v>57</v>
      </c>
      <c r="L120" s="67"/>
      <c r="M120" s="67"/>
      <c r="N120" s="5"/>
      <c r="O120" s="5"/>
      <c r="P120" s="5"/>
      <c r="Q120" s="5"/>
      <c r="R120" s="5"/>
      <c r="S120" s="5"/>
      <c r="T120" s="5"/>
      <c r="U120" s="5"/>
    </row>
    <row r="121" spans="1:21" ht="13.8" thickBot="1" x14ac:dyDescent="0.3">
      <c r="A121" s="642"/>
      <c r="B121" s="65"/>
      <c r="C121" s="65" t="s">
        <v>372</v>
      </c>
      <c r="D121" s="65"/>
      <c r="E121" s="65"/>
      <c r="F121" s="74"/>
      <c r="G121" s="65" t="s">
        <v>212</v>
      </c>
      <c r="H121" s="77"/>
      <c r="I121" s="66" t="s">
        <v>206</v>
      </c>
      <c r="J121" s="68">
        <f t="shared" si="12"/>
        <v>0</v>
      </c>
      <c r="K121" s="65" t="s">
        <v>57</v>
      </c>
      <c r="L121" s="67"/>
      <c r="M121" s="67"/>
    </row>
    <row r="122" spans="1:21" ht="13.8" thickBot="1" x14ac:dyDescent="0.3">
      <c r="A122" s="642"/>
      <c r="B122" s="65"/>
      <c r="C122" s="65" t="s">
        <v>372</v>
      </c>
      <c r="D122" s="65"/>
      <c r="E122" s="65"/>
      <c r="F122" s="74"/>
      <c r="G122" s="65" t="s">
        <v>212</v>
      </c>
      <c r="H122" s="77"/>
      <c r="I122" s="66" t="s">
        <v>206</v>
      </c>
      <c r="J122" s="68">
        <f t="shared" si="12"/>
        <v>0</v>
      </c>
      <c r="K122" s="65" t="s">
        <v>57</v>
      </c>
      <c r="L122" s="67"/>
      <c r="M122" s="67"/>
    </row>
    <row r="123" spans="1:21" x14ac:dyDescent="0.25">
      <c r="A123" s="642"/>
      <c r="B123" s="201"/>
      <c r="C123" s="201" t="s">
        <v>54</v>
      </c>
      <c r="D123" s="201"/>
      <c r="E123" s="201"/>
      <c r="F123" s="201"/>
      <c r="G123" s="201"/>
      <c r="H123" s="202"/>
      <c r="I123" s="202"/>
      <c r="J123" s="203">
        <f>SUM(J120:J122)</f>
        <v>0</v>
      </c>
      <c r="K123" s="201" t="s">
        <v>57</v>
      </c>
      <c r="L123" s="201"/>
      <c r="M123" s="201"/>
    </row>
    <row r="124" spans="1:21" x14ac:dyDescent="0.25">
      <c r="A124" s="642"/>
      <c r="B124" s="65"/>
      <c r="C124" s="65"/>
      <c r="D124" s="65"/>
      <c r="E124" s="65"/>
      <c r="F124" s="65"/>
      <c r="G124" s="65"/>
      <c r="H124" s="66"/>
      <c r="I124" s="66"/>
      <c r="J124" s="68"/>
      <c r="K124" s="65"/>
      <c r="L124" s="67"/>
      <c r="M124" s="67"/>
    </row>
    <row r="125" spans="1:21" ht="12" customHeight="1" x14ac:dyDescent="0.25">
      <c r="A125" s="642"/>
    </row>
    <row r="126" spans="1:21" ht="19.95" customHeight="1" x14ac:dyDescent="0.3">
      <c r="A126" s="642"/>
      <c r="B126" s="176" t="s">
        <v>275</v>
      </c>
      <c r="C126" s="176"/>
      <c r="D126" s="177"/>
      <c r="E126" s="177"/>
      <c r="F126" s="1067" t="s">
        <v>114</v>
      </c>
      <c r="G126" s="1067"/>
      <c r="H126" s="1067" t="s">
        <v>113</v>
      </c>
      <c r="I126" s="1067"/>
      <c r="J126" s="1067" t="s">
        <v>243</v>
      </c>
      <c r="K126" s="1067"/>
      <c r="L126" s="179"/>
      <c r="M126" s="179"/>
    </row>
    <row r="127" spans="1:21" ht="13.8" thickBot="1" x14ac:dyDescent="0.3">
      <c r="A127" s="642"/>
      <c r="B127" s="177"/>
      <c r="C127" s="177"/>
      <c r="D127" s="177"/>
      <c r="E127" s="177"/>
      <c r="F127" s="177"/>
      <c r="G127" s="177"/>
      <c r="H127" s="178"/>
      <c r="I127" s="178"/>
      <c r="J127" s="179"/>
      <c r="K127" s="179"/>
      <c r="L127" s="179"/>
      <c r="M127" s="179"/>
    </row>
    <row r="128" spans="1:21" ht="13.8" thickBot="1" x14ac:dyDescent="0.3">
      <c r="A128" s="642"/>
      <c r="B128" s="177"/>
      <c r="C128" s="177" t="s">
        <v>276</v>
      </c>
      <c r="D128" s="179"/>
      <c r="E128" s="177"/>
      <c r="F128" s="74"/>
      <c r="G128" s="177" t="s">
        <v>7</v>
      </c>
      <c r="H128" s="77"/>
      <c r="I128" s="178" t="s">
        <v>57</v>
      </c>
      <c r="J128" s="180">
        <f t="shared" ref="J128:J130" si="13">F128*H128</f>
        <v>0</v>
      </c>
      <c r="K128" s="177" t="s">
        <v>57</v>
      </c>
      <c r="L128" s="179"/>
      <c r="M128" s="179"/>
    </row>
    <row r="129" spans="1:21" ht="13.8" thickBot="1" x14ac:dyDescent="0.3">
      <c r="B129" s="177"/>
      <c r="C129" s="177" t="s">
        <v>276</v>
      </c>
      <c r="D129" s="177"/>
      <c r="E129" s="177"/>
      <c r="F129" s="74"/>
      <c r="G129" s="177" t="s">
        <v>7</v>
      </c>
      <c r="H129" s="77"/>
      <c r="I129" s="178" t="s">
        <v>57</v>
      </c>
      <c r="J129" s="180">
        <f t="shared" si="13"/>
        <v>0</v>
      </c>
      <c r="K129" s="177" t="s">
        <v>57</v>
      </c>
      <c r="L129" s="179"/>
      <c r="M129" s="179"/>
    </row>
    <row r="130" spans="1:21" ht="13.8" thickBot="1" x14ac:dyDescent="0.3">
      <c r="B130" s="177"/>
      <c r="C130" s="177" t="s">
        <v>276</v>
      </c>
      <c r="D130" s="177"/>
      <c r="E130" s="177"/>
      <c r="F130" s="74"/>
      <c r="G130" s="177" t="s">
        <v>7</v>
      </c>
      <c r="H130" s="77"/>
      <c r="I130" s="178" t="s">
        <v>57</v>
      </c>
      <c r="J130" s="180">
        <f t="shared" si="13"/>
        <v>0</v>
      </c>
      <c r="K130" s="177" t="s">
        <v>57</v>
      </c>
      <c r="L130" s="179"/>
      <c r="M130" s="179"/>
    </row>
    <row r="131" spans="1:21" s="5" customFormat="1" x14ac:dyDescent="0.25">
      <c r="A131" s="637"/>
      <c r="B131" s="204"/>
      <c r="C131" s="204" t="s">
        <v>54</v>
      </c>
      <c r="D131" s="204"/>
      <c r="E131" s="204"/>
      <c r="F131" s="204"/>
      <c r="G131" s="204"/>
      <c r="H131" s="205"/>
      <c r="I131" s="205"/>
      <c r="J131" s="206">
        <f>SUM(J128:J130)</f>
        <v>0</v>
      </c>
      <c r="K131" s="204" t="s">
        <v>57</v>
      </c>
      <c r="L131" s="204"/>
      <c r="M131" s="204"/>
      <c r="N131"/>
      <c r="O131"/>
      <c r="P131"/>
      <c r="Q131"/>
      <c r="R131"/>
      <c r="S131"/>
      <c r="T131"/>
      <c r="U131"/>
    </row>
    <row r="132" spans="1:21" x14ac:dyDescent="0.25">
      <c r="B132" s="177"/>
      <c r="C132" s="177"/>
      <c r="D132" s="177"/>
      <c r="E132" s="177"/>
      <c r="F132" s="177"/>
      <c r="G132" s="177"/>
      <c r="H132" s="178"/>
      <c r="I132" s="178"/>
      <c r="J132" s="180"/>
      <c r="K132" s="177"/>
      <c r="L132" s="179"/>
      <c r="M132" s="179"/>
    </row>
    <row r="133" spans="1:21" ht="30" customHeight="1" x14ac:dyDescent="0.25">
      <c r="N133" s="5"/>
      <c r="O133" s="5"/>
      <c r="P133" s="5"/>
      <c r="Q133" s="5"/>
      <c r="R133" s="5"/>
      <c r="S133" s="5"/>
      <c r="T133" s="5"/>
      <c r="U133" s="5"/>
    </row>
    <row r="134" spans="1:21" ht="15.6" x14ac:dyDescent="0.3">
      <c r="B134" s="181" t="s">
        <v>490</v>
      </c>
      <c r="C134" s="182"/>
      <c r="D134" s="182"/>
      <c r="E134" s="183"/>
      <c r="F134" s="182" t="s">
        <v>114</v>
      </c>
      <c r="G134" s="184"/>
      <c r="H134" s="184" t="s">
        <v>113</v>
      </c>
      <c r="I134" s="182"/>
      <c r="J134" s="182"/>
      <c r="K134" s="185"/>
      <c r="L134" s="185"/>
      <c r="M134" s="185"/>
    </row>
    <row r="135" spans="1:21" ht="16.2" thickBot="1" x14ac:dyDescent="0.35">
      <c r="B135" s="181"/>
      <c r="C135" s="182"/>
      <c r="D135" s="182"/>
      <c r="E135" s="183"/>
      <c r="F135" s="182"/>
      <c r="G135" s="184"/>
      <c r="H135" s="184"/>
      <c r="I135" s="182"/>
      <c r="J135" s="182"/>
      <c r="K135" s="185"/>
      <c r="L135" s="185"/>
      <c r="M135" s="185"/>
    </row>
    <row r="136" spans="1:21" ht="13.8" thickBot="1" x14ac:dyDescent="0.3">
      <c r="B136" s="182"/>
      <c r="C136" s="182" t="s">
        <v>278</v>
      </c>
      <c r="D136" s="185"/>
      <c r="E136" s="186"/>
      <c r="F136" s="74">
        <v>10500</v>
      </c>
      <c r="G136" s="187" t="s">
        <v>279</v>
      </c>
      <c r="H136" s="74">
        <v>0.15</v>
      </c>
      <c r="I136" s="188" t="s">
        <v>280</v>
      </c>
      <c r="J136" s="185">
        <f>H136*F136</f>
        <v>1575</v>
      </c>
      <c r="K136" s="188" t="s">
        <v>57</v>
      </c>
      <c r="L136" s="185"/>
      <c r="M136" s="185"/>
    </row>
    <row r="137" spans="1:21" ht="13.8" thickBot="1" x14ac:dyDescent="0.3">
      <c r="B137" s="182"/>
      <c r="C137" s="182" t="s">
        <v>281</v>
      </c>
      <c r="D137" s="188">
        <f>F169/2</f>
        <v>72</v>
      </c>
      <c r="E137" s="182" t="s">
        <v>282</v>
      </c>
      <c r="F137" s="74">
        <f>+D137*8</f>
        <v>576</v>
      </c>
      <c r="G137" s="184" t="s">
        <v>256</v>
      </c>
      <c r="H137" s="74">
        <v>0.83</v>
      </c>
      <c r="I137" s="188" t="s">
        <v>257</v>
      </c>
      <c r="J137" s="185">
        <f>H137*F137</f>
        <v>478.08</v>
      </c>
      <c r="K137" s="188" t="s">
        <v>57</v>
      </c>
      <c r="L137" s="185"/>
      <c r="M137" s="185"/>
    </row>
    <row r="138" spans="1:21" ht="13.8" thickBot="1" x14ac:dyDescent="0.3">
      <c r="B138" s="182"/>
      <c r="C138" s="182" t="s">
        <v>283</v>
      </c>
      <c r="D138" s="188">
        <f>D137</f>
        <v>72</v>
      </c>
      <c r="E138" s="182" t="s">
        <v>282</v>
      </c>
      <c r="F138" s="74">
        <v>11.88</v>
      </c>
      <c r="G138" s="184" t="s">
        <v>212</v>
      </c>
      <c r="H138" s="74">
        <v>4</v>
      </c>
      <c r="I138" s="188" t="s">
        <v>206</v>
      </c>
      <c r="J138" s="185">
        <f t="shared" ref="J138:J142" si="14">H138*F138</f>
        <v>47.52</v>
      </c>
      <c r="K138" s="188" t="s">
        <v>57</v>
      </c>
      <c r="L138" s="185"/>
      <c r="M138" s="185"/>
    </row>
    <row r="139" spans="1:21" ht="13.8" thickBot="1" x14ac:dyDescent="0.3">
      <c r="B139" s="182"/>
      <c r="C139" s="182" t="s">
        <v>284</v>
      </c>
      <c r="D139" s="185"/>
      <c r="E139" s="188"/>
      <c r="F139" s="74">
        <v>200</v>
      </c>
      <c r="G139" s="184" t="s">
        <v>256</v>
      </c>
      <c r="H139" s="74">
        <v>1.53</v>
      </c>
      <c r="I139" s="188" t="s">
        <v>257</v>
      </c>
      <c r="J139" s="185">
        <f t="shared" si="14"/>
        <v>306</v>
      </c>
      <c r="K139" s="188" t="s">
        <v>57</v>
      </c>
      <c r="L139" s="185"/>
      <c r="M139" s="185"/>
    </row>
    <row r="140" spans="1:21" ht="13.8" thickBot="1" x14ac:dyDescent="0.3">
      <c r="B140" s="182"/>
      <c r="C140" s="182" t="s">
        <v>285</v>
      </c>
      <c r="D140" s="185"/>
      <c r="E140" s="188"/>
      <c r="F140" s="74"/>
      <c r="G140" s="184" t="s">
        <v>256</v>
      </c>
      <c r="H140" s="74"/>
      <c r="I140" s="188" t="s">
        <v>257</v>
      </c>
      <c r="J140" s="185">
        <f t="shared" si="14"/>
        <v>0</v>
      </c>
      <c r="K140" s="188" t="s">
        <v>57</v>
      </c>
      <c r="L140" s="185"/>
      <c r="M140" s="185"/>
    </row>
    <row r="141" spans="1:21" ht="13.8" thickBot="1" x14ac:dyDescent="0.3">
      <c r="B141" s="182"/>
      <c r="C141" s="182" t="s">
        <v>286</v>
      </c>
      <c r="D141" s="185"/>
      <c r="E141" s="188"/>
      <c r="F141" s="74"/>
      <c r="G141" s="184"/>
      <c r="H141" s="74"/>
      <c r="I141" s="188"/>
      <c r="J141" s="185">
        <f t="shared" si="14"/>
        <v>0</v>
      </c>
      <c r="K141" s="188" t="s">
        <v>57</v>
      </c>
      <c r="L141" s="185"/>
      <c r="M141" s="185"/>
    </row>
    <row r="142" spans="1:21" ht="13.8" thickBot="1" x14ac:dyDescent="0.3">
      <c r="B142" s="185"/>
      <c r="C142" s="182" t="s">
        <v>286</v>
      </c>
      <c r="D142" s="185"/>
      <c r="E142" s="185"/>
      <c r="F142" s="74"/>
      <c r="G142" s="185"/>
      <c r="H142" s="74"/>
      <c r="I142" s="185"/>
      <c r="J142" s="185">
        <f t="shared" si="14"/>
        <v>0</v>
      </c>
      <c r="K142" s="188" t="s">
        <v>57</v>
      </c>
      <c r="L142" s="185"/>
      <c r="M142" s="185"/>
    </row>
    <row r="143" spans="1:21" s="5" customFormat="1" x14ac:dyDescent="0.25">
      <c r="A143" s="637"/>
      <c r="B143" s="207"/>
      <c r="C143" s="207" t="s">
        <v>54</v>
      </c>
      <c r="D143" s="207"/>
      <c r="E143" s="207"/>
      <c r="F143" s="207"/>
      <c r="G143" s="207"/>
      <c r="H143" s="207"/>
      <c r="I143" s="207"/>
      <c r="J143" s="207">
        <f>SUM(J136:J142)</f>
        <v>2406.6</v>
      </c>
      <c r="K143" s="208" t="s">
        <v>57</v>
      </c>
      <c r="L143" s="207"/>
      <c r="M143" s="207"/>
    </row>
    <row r="144" spans="1:21" x14ac:dyDescent="0.25">
      <c r="B144" s="185"/>
      <c r="C144" s="185"/>
      <c r="D144" s="185"/>
      <c r="E144" s="185"/>
      <c r="F144" s="185"/>
      <c r="G144" s="185"/>
      <c r="H144" s="185"/>
      <c r="I144" s="185"/>
      <c r="J144" s="185"/>
      <c r="K144" s="185"/>
      <c r="L144" s="185"/>
      <c r="M144" s="185"/>
    </row>
    <row r="146" spans="1:21" ht="15.6" x14ac:dyDescent="0.3">
      <c r="B146" s="88" t="s">
        <v>287</v>
      </c>
      <c r="C146" s="79"/>
      <c r="D146" s="79"/>
      <c r="E146" s="79"/>
      <c r="F146" s="79"/>
      <c r="G146" s="79"/>
      <c r="H146" s="79"/>
      <c r="I146" s="79"/>
      <c r="J146" s="79"/>
      <c r="K146" s="79"/>
      <c r="L146" s="79"/>
      <c r="M146" s="79"/>
    </row>
    <row r="147" spans="1:21" ht="15.6" x14ac:dyDescent="0.3">
      <c r="B147" s="88"/>
      <c r="C147" s="79"/>
      <c r="D147" s="79"/>
      <c r="E147" s="79"/>
      <c r="F147" s="79"/>
      <c r="G147" s="79"/>
      <c r="H147" s="79"/>
      <c r="I147" s="79"/>
      <c r="J147" s="79"/>
      <c r="K147" s="79"/>
      <c r="L147" s="79"/>
      <c r="M147" s="79"/>
    </row>
    <row r="148" spans="1:21" ht="15" customHeight="1" x14ac:dyDescent="0.25">
      <c r="B148" s="1112" t="s">
        <v>499</v>
      </c>
      <c r="C148" s="1112"/>
      <c r="D148" s="1112"/>
      <c r="E148" s="1112"/>
      <c r="F148" s="1112"/>
      <c r="G148" s="1112"/>
      <c r="H148" s="1112"/>
      <c r="I148" s="1112"/>
      <c r="J148" s="1112"/>
      <c r="K148" s="1112"/>
      <c r="L148" s="1112"/>
      <c r="M148" s="1112"/>
    </row>
    <row r="149" spans="1:21" s="5" customFormat="1" x14ac:dyDescent="0.25">
      <c r="A149" s="637"/>
      <c r="B149" s="1112"/>
      <c r="C149" s="1112"/>
      <c r="D149" s="1112"/>
      <c r="E149" s="1112"/>
      <c r="F149" s="1112"/>
      <c r="G149" s="1112"/>
      <c r="H149" s="1112"/>
      <c r="I149" s="1112"/>
      <c r="J149" s="1112"/>
      <c r="K149" s="1112"/>
      <c r="L149" s="1112"/>
      <c r="M149" s="1112"/>
      <c r="N149"/>
      <c r="O149"/>
      <c r="P149"/>
      <c r="Q149"/>
      <c r="R149"/>
      <c r="S149"/>
      <c r="T149"/>
      <c r="U149"/>
    </row>
    <row r="150" spans="1:21" ht="15.6" x14ac:dyDescent="0.3">
      <c r="B150" s="88"/>
      <c r="C150" s="79"/>
      <c r="D150" s="79"/>
      <c r="E150" s="1069" t="s">
        <v>290</v>
      </c>
      <c r="F150" s="1069"/>
      <c r="G150" s="1069"/>
      <c r="H150" s="1070" t="s">
        <v>113</v>
      </c>
      <c r="I150" s="1070"/>
      <c r="J150" s="1069" t="s">
        <v>291</v>
      </c>
      <c r="K150" s="1069"/>
      <c r="L150" s="1070" t="s">
        <v>113</v>
      </c>
      <c r="M150" s="1070"/>
    </row>
    <row r="151" spans="1:21" ht="33" customHeight="1" thickBot="1" x14ac:dyDescent="0.3">
      <c r="B151" s="78"/>
      <c r="C151" s="79"/>
      <c r="D151" s="79"/>
      <c r="E151" s="79"/>
      <c r="F151" s="79"/>
      <c r="G151" s="79"/>
      <c r="H151" s="79"/>
      <c r="I151" s="79"/>
      <c r="J151" s="79"/>
      <c r="K151" s="79"/>
      <c r="L151" s="79"/>
      <c r="M151" s="79"/>
      <c r="N151" s="5"/>
      <c r="O151" s="5"/>
      <c r="P151" s="5"/>
      <c r="Q151" s="5"/>
      <c r="R151" s="5"/>
      <c r="S151" s="5"/>
      <c r="T151" s="5"/>
      <c r="U151" s="5"/>
    </row>
    <row r="152" spans="1:21" ht="13.8" thickBot="1" x14ac:dyDescent="0.3">
      <c r="B152" s="79"/>
      <c r="C152" s="80" t="s">
        <v>292</v>
      </c>
      <c r="D152" s="79"/>
      <c r="E152" s="79"/>
      <c r="F152" s="91">
        <v>2</v>
      </c>
      <c r="G152" s="82" t="s">
        <v>293</v>
      </c>
      <c r="H152" s="93">
        <v>14.5</v>
      </c>
      <c r="I152" s="82" t="s">
        <v>294</v>
      </c>
      <c r="J152" s="92"/>
      <c r="K152" s="82" t="s">
        <v>293</v>
      </c>
      <c r="L152" s="93">
        <v>14.5</v>
      </c>
      <c r="M152" s="82" t="s">
        <v>294</v>
      </c>
    </row>
    <row r="153" spans="1:21" ht="13.8" thickBot="1" x14ac:dyDescent="0.3">
      <c r="B153" s="79"/>
      <c r="C153" s="80" t="s">
        <v>545</v>
      </c>
      <c r="D153" s="79"/>
      <c r="E153" s="79"/>
      <c r="F153" s="91">
        <v>3</v>
      </c>
      <c r="G153" s="82" t="s">
        <v>293</v>
      </c>
      <c r="H153" s="90">
        <f>$H$152</f>
        <v>14.5</v>
      </c>
      <c r="I153" s="82" t="s">
        <v>294</v>
      </c>
      <c r="J153" s="92"/>
      <c r="K153" s="82" t="s">
        <v>293</v>
      </c>
      <c r="L153" s="90">
        <f>$L$152</f>
        <v>14.5</v>
      </c>
      <c r="M153" s="82" t="s">
        <v>294</v>
      </c>
    </row>
    <row r="154" spans="1:21" ht="13.8" thickBot="1" x14ac:dyDescent="0.3">
      <c r="B154" s="79"/>
      <c r="C154" s="80" t="s">
        <v>535</v>
      </c>
      <c r="D154" s="79"/>
      <c r="E154" s="79"/>
      <c r="F154" s="91">
        <v>6</v>
      </c>
      <c r="G154" s="82" t="s">
        <v>293</v>
      </c>
      <c r="H154" s="90">
        <f t="shared" ref="H154:H168" si="15">$H$152</f>
        <v>14.5</v>
      </c>
      <c r="I154" s="82" t="s">
        <v>294</v>
      </c>
      <c r="J154" s="92"/>
      <c r="K154" s="82" t="s">
        <v>293</v>
      </c>
      <c r="L154" s="90">
        <f t="shared" ref="L154:L168" si="16">$L$152</f>
        <v>14.5</v>
      </c>
      <c r="M154" s="82" t="s">
        <v>294</v>
      </c>
    </row>
    <row r="155" spans="1:21" ht="13.8" thickBot="1" x14ac:dyDescent="0.3">
      <c r="B155" s="79"/>
      <c r="C155" s="80" t="s">
        <v>298</v>
      </c>
      <c r="D155" s="79"/>
      <c r="E155" s="79"/>
      <c r="F155" s="91">
        <v>5</v>
      </c>
      <c r="G155" s="82" t="s">
        <v>293</v>
      </c>
      <c r="H155" s="90">
        <f t="shared" si="15"/>
        <v>14.5</v>
      </c>
      <c r="I155" s="82" t="s">
        <v>294</v>
      </c>
      <c r="J155" s="92">
        <v>10</v>
      </c>
      <c r="K155" s="82" t="s">
        <v>293</v>
      </c>
      <c r="L155" s="90">
        <f t="shared" si="16"/>
        <v>14.5</v>
      </c>
      <c r="M155" s="82" t="s">
        <v>294</v>
      </c>
    </row>
    <row r="156" spans="1:21" ht="13.8" thickBot="1" x14ac:dyDescent="0.3">
      <c r="B156" s="79"/>
      <c r="C156" s="80" t="s">
        <v>501</v>
      </c>
      <c r="D156" s="79"/>
      <c r="E156" s="79"/>
      <c r="F156" s="91">
        <v>8</v>
      </c>
      <c r="G156" s="82" t="s">
        <v>293</v>
      </c>
      <c r="H156" s="90">
        <f t="shared" si="15"/>
        <v>14.5</v>
      </c>
      <c r="I156" s="82" t="s">
        <v>294</v>
      </c>
      <c r="J156" s="92"/>
      <c r="K156" s="82" t="s">
        <v>293</v>
      </c>
      <c r="L156" s="90">
        <f t="shared" si="16"/>
        <v>14.5</v>
      </c>
      <c r="M156" s="82" t="s">
        <v>294</v>
      </c>
    </row>
    <row r="157" spans="1:21" ht="13.8" thickBot="1" x14ac:dyDescent="0.3">
      <c r="B157" s="79"/>
      <c r="C157" s="80" t="s">
        <v>502</v>
      </c>
      <c r="D157" s="79"/>
      <c r="E157" s="79"/>
      <c r="F157" s="91">
        <v>4</v>
      </c>
      <c r="G157" s="82" t="s">
        <v>293</v>
      </c>
      <c r="H157" s="90">
        <f t="shared" si="15"/>
        <v>14.5</v>
      </c>
      <c r="I157" s="82" t="s">
        <v>294</v>
      </c>
      <c r="J157" s="92"/>
      <c r="K157" s="82" t="s">
        <v>293</v>
      </c>
      <c r="L157" s="90">
        <f t="shared" si="16"/>
        <v>14.5</v>
      </c>
      <c r="M157" s="82" t="s">
        <v>294</v>
      </c>
    </row>
    <row r="158" spans="1:21" s="5" customFormat="1" ht="13.8" thickBot="1" x14ac:dyDescent="0.3">
      <c r="A158" s="637"/>
      <c r="B158" s="79"/>
      <c r="C158" s="80" t="s">
        <v>503</v>
      </c>
      <c r="D158" s="79"/>
      <c r="E158" s="79"/>
      <c r="F158" s="91">
        <v>20</v>
      </c>
      <c r="G158" s="82" t="s">
        <v>293</v>
      </c>
      <c r="H158" s="90">
        <f t="shared" si="15"/>
        <v>14.5</v>
      </c>
      <c r="I158" s="82" t="s">
        <v>294</v>
      </c>
      <c r="J158" s="92"/>
      <c r="K158" s="82" t="s">
        <v>293</v>
      </c>
      <c r="L158" s="90">
        <f t="shared" si="16"/>
        <v>14.5</v>
      </c>
      <c r="M158" s="82" t="s">
        <v>294</v>
      </c>
      <c r="N158"/>
      <c r="O158"/>
      <c r="P158"/>
      <c r="Q158"/>
      <c r="R158"/>
      <c r="S158"/>
      <c r="T158"/>
      <c r="U158"/>
    </row>
    <row r="159" spans="1:21" ht="13.8" thickBot="1" x14ac:dyDescent="0.3">
      <c r="B159" s="79"/>
      <c r="C159" s="80" t="s">
        <v>504</v>
      </c>
      <c r="D159" s="79"/>
      <c r="E159" s="79"/>
      <c r="F159" s="91">
        <v>4</v>
      </c>
      <c r="G159" s="82" t="s">
        <v>293</v>
      </c>
      <c r="H159" s="90">
        <f t="shared" si="15"/>
        <v>14.5</v>
      </c>
      <c r="I159" s="82" t="s">
        <v>294</v>
      </c>
      <c r="J159" s="92"/>
      <c r="K159" s="82" t="s">
        <v>293</v>
      </c>
      <c r="L159" s="90">
        <f t="shared" si="16"/>
        <v>14.5</v>
      </c>
      <c r="M159" s="82" t="s">
        <v>294</v>
      </c>
    </row>
    <row r="160" spans="1:21" ht="13.8" thickBot="1" x14ac:dyDescent="0.3">
      <c r="B160" s="79"/>
      <c r="C160" s="80" t="s">
        <v>526</v>
      </c>
      <c r="D160" s="79"/>
      <c r="E160" s="79"/>
      <c r="F160" s="91">
        <v>4</v>
      </c>
      <c r="G160" s="82" t="s">
        <v>293</v>
      </c>
      <c r="H160" s="90">
        <f t="shared" si="15"/>
        <v>14.5</v>
      </c>
      <c r="I160" s="82" t="s">
        <v>294</v>
      </c>
      <c r="J160" s="92"/>
      <c r="K160" s="82" t="s">
        <v>293</v>
      </c>
      <c r="L160" s="90">
        <f t="shared" si="16"/>
        <v>14.5</v>
      </c>
      <c r="M160" s="82" t="s">
        <v>294</v>
      </c>
      <c r="N160" s="5"/>
      <c r="O160" s="5"/>
      <c r="P160" s="5"/>
      <c r="Q160" s="5"/>
      <c r="R160" s="5"/>
      <c r="S160" s="5"/>
      <c r="T160" s="5"/>
      <c r="U160" s="5"/>
    </row>
    <row r="161" spans="2:21" ht="13.8" thickBot="1" x14ac:dyDescent="0.3">
      <c r="B161" s="79"/>
      <c r="C161" s="80" t="s">
        <v>303</v>
      </c>
      <c r="D161" s="79"/>
      <c r="E161" s="79"/>
      <c r="F161" s="91">
        <v>8</v>
      </c>
      <c r="G161" s="82" t="s">
        <v>293</v>
      </c>
      <c r="H161" s="90">
        <f t="shared" si="15"/>
        <v>14.5</v>
      </c>
      <c r="I161" s="82" t="s">
        <v>294</v>
      </c>
      <c r="J161" s="92"/>
      <c r="K161" s="82" t="s">
        <v>293</v>
      </c>
      <c r="L161" s="90">
        <f t="shared" si="16"/>
        <v>14.5</v>
      </c>
      <c r="M161" s="82" t="s">
        <v>294</v>
      </c>
    </row>
    <row r="162" spans="2:21" ht="13.8" thickBot="1" x14ac:dyDescent="0.3">
      <c r="B162" s="79"/>
      <c r="C162" s="80" t="s">
        <v>38</v>
      </c>
      <c r="D162" s="79"/>
      <c r="E162" s="79"/>
      <c r="F162" s="91">
        <v>20</v>
      </c>
      <c r="G162" s="82" t="s">
        <v>293</v>
      </c>
      <c r="H162" s="90">
        <f t="shared" si="15"/>
        <v>14.5</v>
      </c>
      <c r="I162" s="82" t="s">
        <v>294</v>
      </c>
      <c r="J162" s="92">
        <v>20</v>
      </c>
      <c r="K162" s="82" t="s">
        <v>293</v>
      </c>
      <c r="L162" s="90">
        <f t="shared" si="16"/>
        <v>14.5</v>
      </c>
      <c r="M162" s="82" t="s">
        <v>294</v>
      </c>
    </row>
    <row r="163" spans="2:21" ht="13.8" thickBot="1" x14ac:dyDescent="0.3">
      <c r="B163" s="79"/>
      <c r="C163" s="80" t="s">
        <v>458</v>
      </c>
      <c r="D163" s="79"/>
      <c r="E163" s="79"/>
      <c r="F163" s="91">
        <v>10</v>
      </c>
      <c r="G163" s="82" t="s">
        <v>293</v>
      </c>
      <c r="H163" s="90">
        <f t="shared" si="15"/>
        <v>14.5</v>
      </c>
      <c r="I163" s="82" t="s">
        <v>294</v>
      </c>
      <c r="J163" s="92"/>
      <c r="K163" s="82" t="s">
        <v>293</v>
      </c>
      <c r="L163" s="90">
        <f t="shared" si="16"/>
        <v>14.5</v>
      </c>
      <c r="M163" s="82" t="s">
        <v>294</v>
      </c>
    </row>
    <row r="164" spans="2:21" ht="13.8" thickBot="1" x14ac:dyDescent="0.3">
      <c r="B164" s="79"/>
      <c r="C164" s="80" t="s">
        <v>306</v>
      </c>
      <c r="D164" s="79"/>
      <c r="E164" s="79"/>
      <c r="F164" s="92">
        <v>40</v>
      </c>
      <c r="G164" s="82" t="s">
        <v>293</v>
      </c>
      <c r="H164" s="90">
        <f t="shared" si="15"/>
        <v>14.5</v>
      </c>
      <c r="I164" s="82" t="s">
        <v>294</v>
      </c>
      <c r="J164" s="92">
        <v>40</v>
      </c>
      <c r="K164" s="82" t="s">
        <v>293</v>
      </c>
      <c r="L164" s="90">
        <f t="shared" si="16"/>
        <v>14.5</v>
      </c>
      <c r="M164" s="82" t="s">
        <v>294</v>
      </c>
    </row>
    <row r="165" spans="2:21" ht="13.8" thickBot="1" x14ac:dyDescent="0.3">
      <c r="B165" s="79"/>
      <c r="C165" s="80" t="s">
        <v>307</v>
      </c>
      <c r="D165" s="79"/>
      <c r="E165" s="79"/>
      <c r="F165" s="92">
        <v>10</v>
      </c>
      <c r="G165" s="82" t="s">
        <v>293</v>
      </c>
      <c r="H165" s="90">
        <f t="shared" si="15"/>
        <v>14.5</v>
      </c>
      <c r="I165" s="82" t="s">
        <v>294</v>
      </c>
      <c r="J165" s="92"/>
      <c r="K165" s="82" t="s">
        <v>293</v>
      </c>
      <c r="L165" s="90">
        <f t="shared" si="16"/>
        <v>14.5</v>
      </c>
      <c r="M165" s="82" t="s">
        <v>294</v>
      </c>
    </row>
    <row r="166" spans="2:21" ht="13.8" thickBot="1" x14ac:dyDescent="0.3">
      <c r="B166" s="79"/>
      <c r="C166" s="80" t="s">
        <v>308</v>
      </c>
      <c r="D166" s="79"/>
      <c r="E166" s="79"/>
      <c r="F166" s="92"/>
      <c r="G166" s="82" t="s">
        <v>293</v>
      </c>
      <c r="H166" s="90">
        <f t="shared" si="15"/>
        <v>14.5</v>
      </c>
      <c r="I166" s="82" t="s">
        <v>294</v>
      </c>
      <c r="J166" s="75"/>
      <c r="K166" s="82" t="s">
        <v>293</v>
      </c>
      <c r="L166" s="90">
        <f t="shared" si="16"/>
        <v>14.5</v>
      </c>
      <c r="M166" s="82" t="s">
        <v>294</v>
      </c>
    </row>
    <row r="167" spans="2:21" ht="13.8" thickBot="1" x14ac:dyDescent="0.3">
      <c r="B167" s="79"/>
      <c r="C167" s="80" t="s">
        <v>308</v>
      </c>
      <c r="D167" s="79"/>
      <c r="E167" s="79"/>
      <c r="F167" s="92"/>
      <c r="G167" s="82" t="s">
        <v>293</v>
      </c>
      <c r="H167" s="90">
        <f t="shared" si="15"/>
        <v>14.5</v>
      </c>
      <c r="I167" s="82" t="s">
        <v>294</v>
      </c>
      <c r="J167" s="75"/>
      <c r="K167" s="82" t="s">
        <v>293</v>
      </c>
      <c r="L167" s="90">
        <f t="shared" si="16"/>
        <v>14.5</v>
      </c>
      <c r="M167" s="82" t="s">
        <v>294</v>
      </c>
    </row>
    <row r="168" spans="2:21" ht="13.8" thickBot="1" x14ac:dyDescent="0.3">
      <c r="B168" s="79"/>
      <c r="C168" s="80" t="s">
        <v>308</v>
      </c>
      <c r="D168" s="81"/>
      <c r="E168" s="81"/>
      <c r="F168" s="75"/>
      <c r="G168" s="82" t="s">
        <v>293</v>
      </c>
      <c r="H168" s="90">
        <f t="shared" si="15"/>
        <v>14.5</v>
      </c>
      <c r="I168" s="82" t="s">
        <v>294</v>
      </c>
      <c r="J168" s="75"/>
      <c r="K168" s="82" t="s">
        <v>293</v>
      </c>
      <c r="L168" s="90">
        <f t="shared" si="16"/>
        <v>14.5</v>
      </c>
      <c r="M168" s="82" t="s">
        <v>294</v>
      </c>
    </row>
    <row r="169" spans="2:21" x14ac:dyDescent="0.25">
      <c r="B169" s="209"/>
      <c r="C169" s="210" t="s">
        <v>54</v>
      </c>
      <c r="D169" s="211"/>
      <c r="E169" s="211"/>
      <c r="F169" s="212">
        <f>SUM(F152:F168)</f>
        <v>144</v>
      </c>
      <c r="G169" s="209" t="s">
        <v>293</v>
      </c>
      <c r="H169" s="213">
        <f>F169*H152</f>
        <v>2088</v>
      </c>
      <c r="I169" s="209" t="s">
        <v>57</v>
      </c>
      <c r="J169" s="212">
        <f>SUM(J152:J168)</f>
        <v>70</v>
      </c>
      <c r="K169" s="209" t="s">
        <v>293</v>
      </c>
      <c r="L169" s="213">
        <f>J169*L152</f>
        <v>1015</v>
      </c>
      <c r="M169" s="209" t="s">
        <v>57</v>
      </c>
    </row>
    <row r="171" spans="2:21" ht="40.200000000000003" customHeight="1" x14ac:dyDescent="0.25">
      <c r="N171" s="5"/>
      <c r="O171" s="5"/>
      <c r="P171" s="5"/>
      <c r="Q171" s="5"/>
      <c r="R171" s="5"/>
      <c r="S171" s="5"/>
      <c r="T171" s="5"/>
      <c r="U171" s="5"/>
    </row>
    <row r="174" spans="2:21" ht="37.950000000000003" customHeight="1" x14ac:dyDescent="0.25"/>
    <row r="186" spans="1:21" s="5" customFormat="1" x14ac:dyDescent="0.25">
      <c r="A186" s="637"/>
      <c r="B186"/>
      <c r="C186"/>
      <c r="D186"/>
      <c r="E186"/>
      <c r="F186"/>
      <c r="G186"/>
      <c r="H186"/>
      <c r="I186"/>
      <c r="J186"/>
      <c r="K186"/>
      <c r="L186"/>
      <c r="M186"/>
      <c r="N186"/>
      <c r="O186"/>
      <c r="P186"/>
      <c r="Q186"/>
      <c r="R186"/>
      <c r="S186"/>
      <c r="T186"/>
      <c r="U186"/>
    </row>
    <row r="188" spans="1:21" x14ac:dyDescent="0.25">
      <c r="N188" s="5"/>
      <c r="O188" s="5"/>
      <c r="P188" s="5"/>
      <c r="Q188" s="5"/>
      <c r="R188" s="5"/>
      <c r="S188" s="5"/>
      <c r="T188" s="5"/>
      <c r="U188" s="5"/>
    </row>
  </sheetData>
  <mergeCells count="45">
    <mergeCell ref="L150:M150"/>
    <mergeCell ref="B148:M149"/>
    <mergeCell ref="F105:G105"/>
    <mergeCell ref="H105:I105"/>
    <mergeCell ref="J105:K105"/>
    <mergeCell ref="F118:G118"/>
    <mergeCell ref="H118:I118"/>
    <mergeCell ref="J118:K118"/>
    <mergeCell ref="F126:G126"/>
    <mergeCell ref="H126:I126"/>
    <mergeCell ref="J126:K126"/>
    <mergeCell ref="E150:G150"/>
    <mergeCell ref="H150:I150"/>
    <mergeCell ref="J150:K150"/>
    <mergeCell ref="L69:M69"/>
    <mergeCell ref="F76:G76"/>
    <mergeCell ref="H76:I76"/>
    <mergeCell ref="J76:K76"/>
    <mergeCell ref="F86:G86"/>
    <mergeCell ref="H86:I86"/>
    <mergeCell ref="J86:K86"/>
    <mergeCell ref="F71:G71"/>
    <mergeCell ref="H71:I71"/>
    <mergeCell ref="J71:K71"/>
    <mergeCell ref="B57:D57"/>
    <mergeCell ref="B64:D64"/>
    <mergeCell ref="B66:D66"/>
    <mergeCell ref="B69:E69"/>
    <mergeCell ref="B38:D38"/>
    <mergeCell ref="C41:D41"/>
    <mergeCell ref="B45:D45"/>
    <mergeCell ref="C48:D48"/>
    <mergeCell ref="B52:C52"/>
    <mergeCell ref="C55:D55"/>
    <mergeCell ref="B2:C2"/>
    <mergeCell ref="B4:L4"/>
    <mergeCell ref="O9:Q9"/>
    <mergeCell ref="T9:U9"/>
    <mergeCell ref="B11:D11"/>
    <mergeCell ref="C34:D34"/>
    <mergeCell ref="O18:Q18"/>
    <mergeCell ref="B26:E26"/>
    <mergeCell ref="B27:E27"/>
    <mergeCell ref="B28:D28"/>
    <mergeCell ref="B31:C31"/>
  </mergeCells>
  <hyperlinks>
    <hyperlink ref="B2" location="Tilakokonaisuus!A1" display="PALAA ETUSIVULLE" xr:uid="{D9BD1671-AAC9-EF44-95D9-DDE0E4217D50}"/>
    <hyperlink ref="B2:C2" location="'Gårdens info'!A1" display="TILL FRAMSIDAN" xr:uid="{E9AD49CF-62C8-DA4C-89DA-995C852E7BC4}"/>
    <hyperlink ref="B26:E26" location="'Gårdens info'!C97" display="ALMÄNNA KOSTNADER, grönsakens andel" xr:uid="{AF9AA0AE-04CC-9343-9414-F6AEFB2A0003}"/>
    <hyperlink ref="B31:C31" location="Omaisuus!B15" display="RAKENNUKSET" xr:uid="{BE29215D-0FB9-524E-A6E4-59B6C19968E9}"/>
    <hyperlink ref="B38:D38" location="Omaisuus!B28" display="KONEET JA KALUSTO" xr:uid="{F0E6185C-DD3D-F243-844A-BB9FC9B71669}"/>
    <hyperlink ref="B45:D45" location="Omaisuus!B51" display="PIDEMPIAIKAISET TUOTANTOVÄLINEET" xr:uid="{E5F367A3-9804-C34B-A8E5-637B167F1CEA}"/>
    <hyperlink ref="B52:C52" location="Omaisuus!B70" display="SALAOJAT" xr:uid="{148D82CB-3465-B446-8F6B-F83845467BDB}"/>
    <hyperlink ref="L69" location="'Avomaan mansikka'!B2" display="PALAA SIVUN YLÄLAITAAN" xr:uid="{F0449F7C-4C31-5C42-BFDC-DC625FF93749}"/>
    <hyperlink ref="L69:M69" location="'Grönsak planterad 3'!A1" display="TILL SIDANS BÖRJAN" xr:uid="{2EBAB6B2-4D05-0449-BF18-90A38126450E}"/>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15B3C-3B59-5D42-9D62-B73C42F7E18B}">
  <sheetPr>
    <tabColor theme="5" tint="0.39997558519241921"/>
  </sheetPr>
  <dimension ref="A1:BE389"/>
  <sheetViews>
    <sheetView zoomScale="78" zoomScaleNormal="80" workbookViewId="0">
      <selection activeCell="B6" sqref="B6"/>
    </sheetView>
  </sheetViews>
  <sheetFormatPr defaultColWidth="11.44140625" defaultRowHeight="13.2" x14ac:dyDescent="0.25"/>
  <cols>
    <col min="1" max="1" width="5.33203125" style="57" customWidth="1"/>
    <col min="3" max="3" width="16.6640625" customWidth="1"/>
    <col min="4" max="4" width="22.6640625" customWidth="1"/>
    <col min="5" max="5" width="12.109375" bestFit="1" customWidth="1"/>
    <col min="6" max="6" width="2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3.44140625" customWidth="1"/>
    <col min="31" max="31" width="58" customWidth="1"/>
    <col min="57" max="57" width="19.33203125" customWidth="1"/>
  </cols>
  <sheetData>
    <row r="1" spans="1:57" s="57" customFormat="1" ht="22.8" x14ac:dyDescent="0.4">
      <c r="B1" s="260" t="s">
        <v>26</v>
      </c>
    </row>
    <row r="2" spans="1:57" ht="27" customHeight="1" x14ac:dyDescent="0.4">
      <c r="B2" s="1094" t="s">
        <v>201</v>
      </c>
      <c r="C2" s="1094"/>
      <c r="F2" s="69"/>
      <c r="G2" s="69"/>
      <c r="H2" s="69"/>
      <c r="AE2" s="804" t="s">
        <v>310</v>
      </c>
      <c r="AG2" s="804"/>
      <c r="AP2" s="13"/>
    </row>
    <row r="3" spans="1:57" ht="67.2" customHeight="1" x14ac:dyDescent="0.3">
      <c r="B3" s="189"/>
      <c r="C3" s="189"/>
      <c r="AE3" s="1120" t="s">
        <v>311</v>
      </c>
      <c r="AF3" s="1120"/>
      <c r="AG3" s="1120"/>
      <c r="AH3" s="1120"/>
      <c r="AI3" s="1120"/>
      <c r="AJ3" s="1120"/>
      <c r="AK3" s="1120"/>
      <c r="AL3" s="1120"/>
      <c r="AM3" s="1120"/>
      <c r="AN3" s="1120"/>
      <c r="AO3" s="1120"/>
      <c r="AP3" s="1120"/>
      <c r="AQ3" s="1120"/>
      <c r="AR3" s="1120"/>
      <c r="AS3" s="1120"/>
      <c r="AT3" s="1120"/>
      <c r="AU3" s="1120"/>
      <c r="AV3" s="1120"/>
      <c r="AW3" s="1120"/>
      <c r="AX3" s="1120"/>
      <c r="AY3" s="1120"/>
      <c r="AZ3" s="1120"/>
      <c r="BA3" s="1120"/>
      <c r="BB3" s="1120"/>
      <c r="BC3" s="1120"/>
      <c r="BD3" s="1120"/>
      <c r="BE3" s="1120"/>
    </row>
    <row r="4" spans="1:57" ht="139.94999999999999" customHeight="1" thickBot="1" x14ac:dyDescent="0.35">
      <c r="B4" s="1098" t="s">
        <v>548</v>
      </c>
      <c r="C4" s="1098"/>
      <c r="D4" s="1098"/>
      <c r="E4" s="1098"/>
      <c r="F4" s="1098"/>
      <c r="G4" s="1098"/>
      <c r="H4" s="1098"/>
      <c r="I4" s="1098"/>
      <c r="J4" s="1098"/>
      <c r="K4" s="1098"/>
      <c r="L4" s="1098"/>
    </row>
    <row r="5" spans="1:57" ht="27" customHeight="1" thickBot="1" x14ac:dyDescent="0.35">
      <c r="B5" s="189"/>
      <c r="C5" s="189"/>
      <c r="AE5" s="854"/>
      <c r="AF5" s="1124" t="s">
        <v>312</v>
      </c>
      <c r="AG5" s="1124"/>
      <c r="AH5" s="1124" t="s">
        <v>313</v>
      </c>
      <c r="AI5" s="1124"/>
      <c r="AJ5" s="1124" t="s">
        <v>314</v>
      </c>
      <c r="AK5" s="1124"/>
      <c r="AL5" s="1124" t="s">
        <v>315</v>
      </c>
      <c r="AM5" s="1124"/>
      <c r="AN5" s="1124" t="s">
        <v>316</v>
      </c>
      <c r="AO5" s="1124"/>
      <c r="AP5" s="1124" t="s">
        <v>317</v>
      </c>
      <c r="AQ5" s="1124"/>
      <c r="AR5" s="1124" t="s">
        <v>318</v>
      </c>
      <c r="AS5" s="1124"/>
      <c r="AT5" s="1124" t="s">
        <v>319</v>
      </c>
      <c r="AU5" s="1124"/>
      <c r="AV5" s="1124" t="s">
        <v>320</v>
      </c>
      <c r="AW5" s="1124"/>
      <c r="AX5" s="1124" t="s">
        <v>321</v>
      </c>
      <c r="AY5" s="1124"/>
      <c r="AZ5" s="1124" t="s">
        <v>322</v>
      </c>
      <c r="BA5" s="1124"/>
      <c r="BB5" s="1124" t="s">
        <v>323</v>
      </c>
      <c r="BC5" s="1124"/>
      <c r="BD5" s="855" t="s">
        <v>549</v>
      </c>
      <c r="BE5" s="856"/>
    </row>
    <row r="6" spans="1:57" ht="27" customHeight="1" x14ac:dyDescent="0.4">
      <c r="B6" s="256" t="s">
        <v>550</v>
      </c>
      <c r="C6" s="221"/>
      <c r="D6" s="222"/>
      <c r="E6" s="222"/>
      <c r="F6" s="222"/>
      <c r="G6" s="222"/>
      <c r="H6" s="222"/>
      <c r="I6" s="222"/>
      <c r="J6" s="222"/>
      <c r="K6" s="222"/>
      <c r="L6" s="222"/>
      <c r="M6" s="223"/>
      <c r="N6" s="368"/>
      <c r="O6" s="222"/>
      <c r="P6" s="222"/>
      <c r="Q6" s="222"/>
      <c r="R6" s="222"/>
      <c r="S6" s="222"/>
      <c r="T6" s="222"/>
      <c r="U6" s="223"/>
      <c r="AB6" s="809"/>
      <c r="AE6" s="793" t="s">
        <v>551</v>
      </c>
      <c r="AF6" s="859"/>
      <c r="AG6" s="859"/>
      <c r="AH6" s="859"/>
      <c r="AI6" s="859"/>
      <c r="AJ6" s="859"/>
      <c r="AK6" s="859"/>
      <c r="AL6" s="859"/>
      <c r="AM6" s="859"/>
      <c r="AN6" s="859"/>
      <c r="AO6" s="859"/>
      <c r="AP6" s="859"/>
      <c r="AQ6" s="859"/>
      <c r="AR6" s="859"/>
      <c r="AS6" s="859"/>
      <c r="AT6" s="859"/>
      <c r="AU6" s="859"/>
      <c r="AV6" s="859"/>
      <c r="AW6" s="859"/>
      <c r="AX6" s="859"/>
      <c r="AY6" s="859"/>
      <c r="AZ6" s="859"/>
      <c r="BA6" s="859"/>
      <c r="BB6" s="859"/>
      <c r="BC6" s="859"/>
      <c r="BD6" s="866"/>
      <c r="BE6" s="857"/>
    </row>
    <row r="7" spans="1:57" ht="27" customHeight="1" x14ac:dyDescent="0.4">
      <c r="B7" s="224"/>
      <c r="C7" s="225"/>
      <c r="D7" s="116"/>
      <c r="E7" s="116"/>
      <c r="F7" s="116"/>
      <c r="G7" s="116"/>
      <c r="H7" s="116"/>
      <c r="I7" s="116"/>
      <c r="J7" s="116"/>
      <c r="K7" s="116"/>
      <c r="L7" s="116"/>
      <c r="M7" s="226"/>
      <c r="N7" s="369"/>
      <c r="O7" s="116"/>
      <c r="P7" s="116"/>
      <c r="Q7" s="116"/>
      <c r="R7" s="116"/>
      <c r="S7" s="116"/>
      <c r="T7" s="116"/>
      <c r="U7" s="226"/>
      <c r="AB7" s="809"/>
      <c r="AE7" s="291" t="s">
        <v>552</v>
      </c>
      <c r="AF7" s="859"/>
      <c r="AG7" s="859"/>
      <c r="AH7" s="859"/>
      <c r="AI7" s="859"/>
      <c r="AJ7" s="859"/>
      <c r="AK7" s="859"/>
      <c r="AL7" s="859"/>
      <c r="AM7" s="859"/>
      <c r="AN7" s="859"/>
      <c r="AO7" s="859"/>
      <c r="AP7" s="859"/>
      <c r="AQ7" s="859"/>
      <c r="AR7" s="859"/>
      <c r="AS7" s="859"/>
      <c r="AT7" s="859"/>
      <c r="AU7" s="859"/>
      <c r="AV7" s="827">
        <v>2</v>
      </c>
      <c r="AW7" s="860"/>
      <c r="AX7" s="859"/>
      <c r="AY7" s="859"/>
      <c r="AZ7" s="859"/>
      <c r="BA7" s="859"/>
      <c r="BB7" s="859"/>
      <c r="BC7" s="859"/>
      <c r="BD7" s="866">
        <f t="shared" ref="BD7:BD8" si="0">SUM(AF7:BB7)</f>
        <v>2</v>
      </c>
      <c r="BE7" s="857" t="s">
        <v>327</v>
      </c>
    </row>
    <row r="8" spans="1:57" ht="36" x14ac:dyDescent="0.4">
      <c r="B8" s="257" t="s">
        <v>204</v>
      </c>
      <c r="C8" s="225"/>
      <c r="D8" s="116"/>
      <c r="E8" s="119"/>
      <c r="F8" s="119"/>
      <c r="G8" s="119"/>
      <c r="H8" s="119"/>
      <c r="I8" s="116"/>
      <c r="J8" s="116"/>
      <c r="K8" s="116"/>
      <c r="L8" s="116"/>
      <c r="M8" s="226"/>
      <c r="N8" s="257" t="s">
        <v>205</v>
      </c>
      <c r="O8" s="116"/>
      <c r="P8" s="116"/>
      <c r="Q8" s="116"/>
      <c r="R8" s="116"/>
      <c r="S8" s="116"/>
      <c r="T8" s="116"/>
      <c r="U8" s="239"/>
      <c r="AB8" s="809"/>
      <c r="AE8" s="931" t="s">
        <v>553</v>
      </c>
      <c r="AF8" s="859"/>
      <c r="AG8" s="859"/>
      <c r="AH8" s="859"/>
      <c r="AI8" s="859"/>
      <c r="AJ8" s="859"/>
      <c r="AK8" s="859"/>
      <c r="AL8" s="859"/>
      <c r="AM8" s="859"/>
      <c r="AN8" s="859"/>
      <c r="AO8" s="859"/>
      <c r="AP8" s="859"/>
      <c r="AQ8" s="859"/>
      <c r="AR8" s="859"/>
      <c r="AS8" s="859"/>
      <c r="AT8" s="859"/>
      <c r="AU8" s="859"/>
      <c r="AV8" s="859"/>
      <c r="AW8" s="859"/>
      <c r="AX8" s="859"/>
      <c r="AY8" s="859"/>
      <c r="AZ8" s="827">
        <v>2</v>
      </c>
      <c r="BA8" s="827"/>
      <c r="BB8" s="827">
        <v>2</v>
      </c>
      <c r="BC8" s="860"/>
      <c r="BD8" s="866">
        <f t="shared" si="0"/>
        <v>4</v>
      </c>
      <c r="BE8" s="857"/>
    </row>
    <row r="9" spans="1:57" ht="21" customHeight="1" thickBot="1" x14ac:dyDescent="0.35">
      <c r="B9" s="227"/>
      <c r="C9" s="228" t="s">
        <v>205</v>
      </c>
      <c r="D9" s="119"/>
      <c r="E9" s="119"/>
      <c r="F9" s="229">
        <f>H9*'Gårdens info'!G28</f>
        <v>21688.6</v>
      </c>
      <c r="G9" s="119" t="s">
        <v>57</v>
      </c>
      <c r="H9" s="298">
        <f>IF('Gårdens info'!G28&gt;0,(('Gårdens info'!G28*'Jordgubbe friland'!S10*'Jordgubbe friland'!T10)+('Gårdens info'!G28*'Jordgubbe friland'!S11*'Jordgubbe friland'!T11)+('Gårdens info'!G28*'Jordgubbe friland'!S12*'Jordgubbe friland'!T12)+('Gårdens info'!G28*'Jordgubbe friland'!S13*'Jordgubbe friland'!T13)+('Gårdens info'!G28*'Jordgubbe friland'!S14*'Jordgubbe friland'!T14)+('Gårdens info'!G28*S15*T15)+('Gårdens info'!G28*S16*T16)+('Gårdens info'!G28*S17*T17))/(('Gårdens info'!G28)),0)</f>
        <v>6.3789999999999996</v>
      </c>
      <c r="I9" s="119" t="s">
        <v>206</v>
      </c>
      <c r="J9" s="229">
        <f>F9*'Gårdens info'!D28</f>
        <v>65065.799999999996</v>
      </c>
      <c r="K9" s="119" t="s">
        <v>554</v>
      </c>
      <c r="L9" s="119"/>
      <c r="M9" s="226"/>
      <c r="N9" s="369"/>
      <c r="O9" s="1095" t="s">
        <v>208</v>
      </c>
      <c r="P9" s="1095"/>
      <c r="Q9" s="1095"/>
      <c r="R9" s="230"/>
      <c r="S9" s="951" t="s">
        <v>209</v>
      </c>
      <c r="T9" s="1086" t="s">
        <v>210</v>
      </c>
      <c r="U9" s="1087"/>
      <c r="AB9" s="809"/>
      <c r="AE9" s="291" t="s">
        <v>555</v>
      </c>
      <c r="AF9" s="56"/>
      <c r="AG9" s="56"/>
      <c r="AH9" s="835"/>
      <c r="AI9" s="835"/>
      <c r="AJ9" s="835"/>
      <c r="AK9" s="835"/>
      <c r="AL9" s="56"/>
      <c r="AM9" s="826">
        <v>2</v>
      </c>
      <c r="AN9" s="826">
        <v>2</v>
      </c>
      <c r="AO9" s="56"/>
      <c r="AP9" s="56"/>
      <c r="AQ9" s="56"/>
      <c r="AR9" s="56"/>
      <c r="AS9" s="56"/>
      <c r="AT9" s="56"/>
      <c r="AU9" s="56"/>
      <c r="AV9" s="56"/>
      <c r="AW9" s="56"/>
      <c r="AX9" s="56"/>
      <c r="AY9" s="56"/>
      <c r="AZ9" s="56"/>
      <c r="BA9" s="56"/>
      <c r="BB9" s="56"/>
      <c r="BC9" s="56"/>
      <c r="BD9" s="866">
        <f>SUM(AF9:BB9)</f>
        <v>4</v>
      </c>
      <c r="BE9" s="857"/>
    </row>
    <row r="10" spans="1:57" ht="18" thickBot="1" x14ac:dyDescent="0.35">
      <c r="B10" s="227"/>
      <c r="C10" s="119" t="s">
        <v>211</v>
      </c>
      <c r="D10" s="119"/>
      <c r="E10" s="119"/>
      <c r="F10" s="229">
        <f>IF('Gårdens info'!D28&gt;0,Stöd!L15,0)</f>
        <v>1027.0999999999999</v>
      </c>
      <c r="G10" s="119" t="s">
        <v>57</v>
      </c>
      <c r="H10" s="298">
        <f>IF('Gårdens info'!G30&gt;0,F10/'Gårdens info'!G28,0)</f>
        <v>0.3020882352941176</v>
      </c>
      <c r="I10" s="119" t="s">
        <v>206</v>
      </c>
      <c r="J10" s="229">
        <f>F10*'Gårdens info'!D28</f>
        <v>3081.2999999999997</v>
      </c>
      <c r="K10" s="119" t="s">
        <v>554</v>
      </c>
      <c r="L10" s="119"/>
      <c r="M10" s="226"/>
      <c r="N10" s="369"/>
      <c r="O10" s="119">
        <v>1</v>
      </c>
      <c r="P10" s="119" t="s">
        <v>212</v>
      </c>
      <c r="Q10" s="119" t="s">
        <v>556</v>
      </c>
      <c r="R10" s="119"/>
      <c r="S10" s="377">
        <v>0.2</v>
      </c>
      <c r="T10" s="255">
        <v>5.89</v>
      </c>
      <c r="U10" s="239" t="s">
        <v>206</v>
      </c>
      <c r="AB10" s="809"/>
      <c r="AE10" s="291" t="s">
        <v>557</v>
      </c>
      <c r="AF10" s="56"/>
      <c r="AG10" s="56"/>
      <c r="AH10" s="56"/>
      <c r="AI10" s="56"/>
      <c r="AJ10" s="56"/>
      <c r="AK10" s="56"/>
      <c r="AL10" s="56"/>
      <c r="AM10" s="826">
        <v>3</v>
      </c>
      <c r="AN10" s="826"/>
      <c r="AO10" s="56"/>
      <c r="AP10" s="56"/>
      <c r="AQ10" s="56"/>
      <c r="AR10" s="56"/>
      <c r="AS10" s="56"/>
      <c r="AT10" s="56"/>
      <c r="AU10" s="56"/>
      <c r="AV10" s="56"/>
      <c r="AW10" s="56"/>
      <c r="AX10" s="56"/>
      <c r="AY10" s="56"/>
      <c r="AZ10" s="56"/>
      <c r="BA10" s="56"/>
      <c r="BB10" s="56"/>
      <c r="BC10" s="56"/>
      <c r="BD10" s="866">
        <f t="shared" ref="BD10:BD49" si="1">SUM(AF10:BB10)</f>
        <v>3</v>
      </c>
      <c r="BE10" s="857"/>
    </row>
    <row r="11" spans="1:57" s="5" customFormat="1" ht="21.6" customHeight="1" thickBot="1" x14ac:dyDescent="0.45">
      <c r="A11" s="879"/>
      <c r="B11" s="1061" t="s">
        <v>214</v>
      </c>
      <c r="C11" s="1043"/>
      <c r="D11" s="1043"/>
      <c r="E11" s="262"/>
      <c r="F11" s="266">
        <f>F9+F10</f>
        <v>22715.699999999997</v>
      </c>
      <c r="G11" s="267" t="s">
        <v>57</v>
      </c>
      <c r="H11" s="268">
        <f>H9+H10</f>
        <v>6.6810882352941174</v>
      </c>
      <c r="I11" s="267" t="s">
        <v>206</v>
      </c>
      <c r="J11" s="269">
        <f>J9+J10</f>
        <v>68147.099999999991</v>
      </c>
      <c r="K11" s="267" t="s">
        <v>554</v>
      </c>
      <c r="L11" s="267"/>
      <c r="M11" s="259"/>
      <c r="N11" s="370"/>
      <c r="O11" s="119">
        <v>3</v>
      </c>
      <c r="P11" s="119" t="s">
        <v>212</v>
      </c>
      <c r="Q11" s="119" t="s">
        <v>558</v>
      </c>
      <c r="R11" s="119"/>
      <c r="S11" s="379">
        <v>0.2</v>
      </c>
      <c r="T11" s="380">
        <v>5.89</v>
      </c>
      <c r="U11" s="239" t="s">
        <v>206</v>
      </c>
      <c r="AB11" s="809"/>
      <c r="AE11" s="291" t="s">
        <v>559</v>
      </c>
      <c r="AF11" s="56"/>
      <c r="AG11" s="56"/>
      <c r="AH11" s="56"/>
      <c r="AI11" s="56"/>
      <c r="AJ11" s="56"/>
      <c r="AK11" s="56"/>
      <c r="AL11" s="56"/>
      <c r="AM11" s="56"/>
      <c r="AN11" s="826">
        <v>2</v>
      </c>
      <c r="AO11" s="56"/>
      <c r="AP11" s="56"/>
      <c r="AQ11" s="56"/>
      <c r="AR11" s="56"/>
      <c r="AS11" s="56"/>
      <c r="AT11" s="56"/>
      <c r="AU11" s="56"/>
      <c r="AV11" s="56"/>
      <c r="AW11" s="56"/>
      <c r="AX11" s="56"/>
      <c r="AY11" s="56"/>
      <c r="AZ11" s="56"/>
      <c r="BA11" s="56"/>
      <c r="BB11" s="56"/>
      <c r="BC11" s="56"/>
      <c r="BD11" s="866">
        <f t="shared" si="1"/>
        <v>2</v>
      </c>
      <c r="BE11" s="857"/>
    </row>
    <row r="12" spans="1:57" s="5" customFormat="1" ht="21.6" thickBot="1" x14ac:dyDescent="0.45">
      <c r="A12" s="879"/>
      <c r="B12" s="288"/>
      <c r="C12" s="270"/>
      <c r="D12" s="270"/>
      <c r="E12" s="262"/>
      <c r="F12" s="266"/>
      <c r="G12" s="267"/>
      <c r="H12" s="268"/>
      <c r="I12" s="267"/>
      <c r="J12" s="269"/>
      <c r="K12" s="267"/>
      <c r="L12" s="267"/>
      <c r="M12" s="259"/>
      <c r="N12" s="370"/>
      <c r="O12" s="119">
        <v>5</v>
      </c>
      <c r="P12" s="119" t="s">
        <v>212</v>
      </c>
      <c r="Q12" s="119" t="s">
        <v>558</v>
      </c>
      <c r="R12" s="119"/>
      <c r="S12" s="379">
        <v>0.3</v>
      </c>
      <c r="T12" s="380">
        <v>5.89</v>
      </c>
      <c r="U12" s="239" t="s">
        <v>206</v>
      </c>
      <c r="AB12" s="809"/>
      <c r="AE12" s="291" t="s">
        <v>560</v>
      </c>
      <c r="AF12" s="56"/>
      <c r="AG12" s="56"/>
      <c r="AH12" s="56"/>
      <c r="AI12" s="56"/>
      <c r="AJ12" s="56"/>
      <c r="AK12" s="56"/>
      <c r="AL12" s="56"/>
      <c r="AM12" s="56"/>
      <c r="AN12" s="826">
        <v>4</v>
      </c>
      <c r="AO12" s="56"/>
      <c r="AP12" s="56"/>
      <c r="AQ12" s="56"/>
      <c r="AR12" s="56"/>
      <c r="AS12" s="56"/>
      <c r="AT12" s="56"/>
      <c r="AU12" s="56"/>
      <c r="AV12" s="56"/>
      <c r="AW12" s="56"/>
      <c r="AX12" s="56"/>
      <c r="AY12" s="56"/>
      <c r="AZ12" s="56"/>
      <c r="BA12" s="56"/>
      <c r="BB12" s="56"/>
      <c r="BC12" s="56"/>
      <c r="BD12" s="866">
        <f t="shared" si="1"/>
        <v>4</v>
      </c>
      <c r="BE12" s="857"/>
    </row>
    <row r="13" spans="1:57" ht="22.2" customHeight="1" thickBot="1" x14ac:dyDescent="0.35">
      <c r="B13" s="231"/>
      <c r="C13" s="225"/>
      <c r="D13" s="116"/>
      <c r="E13" s="116"/>
      <c r="F13" s="116"/>
      <c r="G13" s="116"/>
      <c r="H13" s="116"/>
      <c r="I13" s="116"/>
      <c r="J13" s="232"/>
      <c r="K13" s="116"/>
      <c r="L13" s="116"/>
      <c r="M13" s="226"/>
      <c r="N13" s="369"/>
      <c r="O13" s="119">
        <v>0.5</v>
      </c>
      <c r="P13" s="119" t="s">
        <v>212</v>
      </c>
      <c r="Q13" s="119" t="s">
        <v>561</v>
      </c>
      <c r="R13" s="119"/>
      <c r="S13" s="379">
        <v>0.2</v>
      </c>
      <c r="T13" s="255">
        <v>7.52</v>
      </c>
      <c r="U13" s="239" t="s">
        <v>206</v>
      </c>
      <c r="AB13" s="809"/>
      <c r="AE13" s="291" t="s">
        <v>562</v>
      </c>
      <c r="AF13" s="56"/>
      <c r="AG13" s="56"/>
      <c r="AH13" s="56"/>
      <c r="AI13" s="56"/>
      <c r="AJ13" s="56"/>
      <c r="AK13" s="56"/>
      <c r="AL13" s="56"/>
      <c r="AM13" s="56"/>
      <c r="AN13" s="56"/>
      <c r="AO13" s="826">
        <v>3</v>
      </c>
      <c r="AP13" s="56"/>
      <c r="AQ13" s="56"/>
      <c r="AR13" s="56"/>
      <c r="AS13" s="56"/>
      <c r="AT13" s="56"/>
      <c r="AU13" s="56"/>
      <c r="AV13" s="56"/>
      <c r="AW13" s="56"/>
      <c r="AX13" s="56"/>
      <c r="AY13" s="56"/>
      <c r="AZ13" s="56"/>
      <c r="BA13" s="56"/>
      <c r="BB13" s="56"/>
      <c r="BC13" s="56"/>
      <c r="BD13" s="866">
        <f t="shared" si="1"/>
        <v>3</v>
      </c>
      <c r="BE13" s="857"/>
    </row>
    <row r="14" spans="1:57" ht="21.6" thickBot="1" x14ac:dyDescent="0.45">
      <c r="B14" s="257" t="s">
        <v>186</v>
      </c>
      <c r="C14" s="225"/>
      <c r="D14" s="116"/>
      <c r="E14" s="116"/>
      <c r="F14" s="116"/>
      <c r="G14" s="116"/>
      <c r="H14" s="116"/>
      <c r="I14" s="116"/>
      <c r="J14" s="232"/>
      <c r="K14" s="116"/>
      <c r="L14" s="116"/>
      <c r="M14" s="226"/>
      <c r="N14" s="369"/>
      <c r="O14" s="119">
        <v>0.25</v>
      </c>
      <c r="P14" s="119" t="s">
        <v>212</v>
      </c>
      <c r="Q14" s="119" t="s">
        <v>561</v>
      </c>
      <c r="R14" s="119"/>
      <c r="S14" s="379">
        <v>0.1</v>
      </c>
      <c r="T14" s="255">
        <v>7.52</v>
      </c>
      <c r="U14" s="239" t="s">
        <v>206</v>
      </c>
      <c r="AB14" s="809"/>
      <c r="AE14" s="291" t="s">
        <v>563</v>
      </c>
      <c r="AF14" s="56"/>
      <c r="AG14" s="56"/>
      <c r="AH14" s="56"/>
      <c r="AI14" s="56"/>
      <c r="AJ14" s="56"/>
      <c r="AK14" s="56"/>
      <c r="AL14" s="56"/>
      <c r="AM14" s="56"/>
      <c r="AN14" s="56"/>
      <c r="AO14" s="826">
        <v>20</v>
      </c>
      <c r="AP14" s="826">
        <v>20</v>
      </c>
      <c r="AQ14" s="56"/>
      <c r="AR14" s="56"/>
      <c r="AS14" s="56"/>
      <c r="AT14" s="56"/>
      <c r="AU14" s="56"/>
      <c r="AV14" s="56"/>
      <c r="AW14" s="56"/>
      <c r="AX14" s="56"/>
      <c r="AY14" s="56"/>
      <c r="AZ14" s="56"/>
      <c r="BA14" s="56"/>
      <c r="BB14" s="56"/>
      <c r="BC14" s="56"/>
      <c r="BD14" s="866">
        <f t="shared" si="1"/>
        <v>40</v>
      </c>
      <c r="BE14" s="857"/>
    </row>
    <row r="15" spans="1:57" s="56" customFormat="1" ht="16.95" customHeight="1" thickBot="1" x14ac:dyDescent="0.35">
      <c r="A15" s="880"/>
      <c r="B15" s="1132" t="s">
        <v>564</v>
      </c>
      <c r="C15" s="1133"/>
      <c r="D15" s="1133"/>
      <c r="E15" s="701"/>
      <c r="F15" s="701"/>
      <c r="G15" s="701"/>
      <c r="H15" s="701"/>
      <c r="I15" s="701"/>
      <c r="J15" s="702"/>
      <c r="K15" s="701"/>
      <c r="L15" s="701"/>
      <c r="M15" s="234"/>
      <c r="N15" s="369"/>
      <c r="O15" s="651">
        <f>D235</f>
        <v>0</v>
      </c>
      <c r="P15" s="119" t="s">
        <v>212</v>
      </c>
      <c r="Q15" s="298" t="s">
        <v>511</v>
      </c>
      <c r="R15" s="119"/>
      <c r="S15" s="379">
        <v>0</v>
      </c>
      <c r="T15" s="255"/>
      <c r="U15" s="239" t="s">
        <v>206</v>
      </c>
      <c r="AB15" s="809"/>
      <c r="AE15" s="291" t="s">
        <v>565</v>
      </c>
      <c r="AP15" s="826">
        <v>3</v>
      </c>
      <c r="AQ15" s="826">
        <v>3</v>
      </c>
      <c r="AR15" s="826"/>
      <c r="AS15" s="826">
        <v>3</v>
      </c>
      <c r="AT15" s="826">
        <v>3</v>
      </c>
      <c r="BD15" s="866">
        <f t="shared" si="1"/>
        <v>12</v>
      </c>
      <c r="BE15" s="857"/>
    </row>
    <row r="16" spans="1:57" s="69" customFormat="1" ht="21" customHeight="1" thickBot="1" x14ac:dyDescent="0.35">
      <c r="A16" s="868"/>
      <c r="B16" s="703"/>
      <c r="C16" s="704" t="s">
        <v>566</v>
      </c>
      <c r="D16" s="705"/>
      <c r="E16" s="705"/>
      <c r="F16" s="706">
        <f>IF('Gårdens info'!D28&gt;0,J113/'Gårdens info'!I28,0)</f>
        <v>2083.3333333333335</v>
      </c>
      <c r="G16" s="705" t="s">
        <v>57</v>
      </c>
      <c r="H16" s="707">
        <f>IF('Gårdens info'!$G$28&gt;0,F16/'Gårdens info'!$G$28,0)</f>
        <v>0.61274509803921573</v>
      </c>
      <c r="I16" s="705" t="s">
        <v>206</v>
      </c>
      <c r="J16" s="706">
        <f>F16*'Gårdens info'!$D$28</f>
        <v>6250</v>
      </c>
      <c r="K16" s="705" t="s">
        <v>554</v>
      </c>
      <c r="L16" s="705"/>
      <c r="M16" s="239"/>
      <c r="N16" s="369"/>
      <c r="O16" s="651">
        <f t="shared" ref="O16:O17" si="2">D236</f>
        <v>0</v>
      </c>
      <c r="P16" s="119" t="s">
        <v>212</v>
      </c>
      <c r="Q16" s="298" t="s">
        <v>511</v>
      </c>
      <c r="R16" s="119"/>
      <c r="S16" s="379">
        <v>0</v>
      </c>
      <c r="T16" s="255"/>
      <c r="U16" s="239" t="s">
        <v>206</v>
      </c>
      <c r="AB16" s="809"/>
      <c r="AE16" s="291" t="s">
        <v>560</v>
      </c>
      <c r="AF16" s="56"/>
      <c r="AG16" s="56"/>
      <c r="AH16" s="56"/>
      <c r="AI16" s="56"/>
      <c r="AJ16" s="56"/>
      <c r="AK16" s="56"/>
      <c r="AL16" s="56"/>
      <c r="AM16" s="56"/>
      <c r="AN16" s="56"/>
      <c r="AO16" s="826">
        <v>4</v>
      </c>
      <c r="AP16" s="826"/>
      <c r="AQ16" s="56"/>
      <c r="AR16" s="56"/>
      <c r="AS16" s="56"/>
      <c r="AT16" s="56"/>
      <c r="AU16" s="56"/>
      <c r="AV16" s="56"/>
      <c r="AW16" s="56"/>
      <c r="AX16" s="56"/>
      <c r="AY16" s="56"/>
      <c r="AZ16" s="56"/>
      <c r="BA16" s="56"/>
      <c r="BB16" s="56"/>
      <c r="BC16" s="56"/>
      <c r="BD16" s="866">
        <f t="shared" si="1"/>
        <v>4</v>
      </c>
      <c r="BE16" s="857"/>
    </row>
    <row r="17" spans="1:57" s="69" customFormat="1" ht="18.600000000000001" thickBot="1" x14ac:dyDescent="0.4">
      <c r="A17" s="868"/>
      <c r="B17" s="703"/>
      <c r="C17" s="704" t="s">
        <v>219</v>
      </c>
      <c r="D17" s="705"/>
      <c r="E17" s="705"/>
      <c r="F17" s="706">
        <f>IF('Gårdens info'!D29&gt;0,J122/'Gårdens info'!I28,0)</f>
        <v>0</v>
      </c>
      <c r="G17" s="705" t="s">
        <v>57</v>
      </c>
      <c r="H17" s="707">
        <f>IF('Gårdens info'!$G$28&gt;0,F17/'Gårdens info'!$G$28,0)</f>
        <v>0</v>
      </c>
      <c r="I17" s="705" t="s">
        <v>206</v>
      </c>
      <c r="J17" s="706">
        <f>F17*'Gårdens info'!$D$28</f>
        <v>0</v>
      </c>
      <c r="K17" s="705" t="s">
        <v>554</v>
      </c>
      <c r="L17" s="705"/>
      <c r="M17" s="239"/>
      <c r="N17" s="371"/>
      <c r="O17" s="651">
        <f t="shared" si="2"/>
        <v>0</v>
      </c>
      <c r="P17" s="119" t="s">
        <v>212</v>
      </c>
      <c r="Q17" s="298" t="s">
        <v>511</v>
      </c>
      <c r="R17" s="119"/>
      <c r="S17" s="378">
        <v>0</v>
      </c>
      <c r="T17" s="255"/>
      <c r="U17" s="239" t="s">
        <v>206</v>
      </c>
      <c r="AB17" s="809"/>
      <c r="AE17" s="291" t="s">
        <v>335</v>
      </c>
      <c r="AF17" s="818"/>
      <c r="AG17" s="818"/>
      <c r="AH17" s="818"/>
      <c r="AI17" s="818"/>
      <c r="AJ17" s="818"/>
      <c r="AK17" s="818"/>
      <c r="AL17" s="818"/>
      <c r="AM17" s="818"/>
      <c r="AN17" s="56"/>
      <c r="AO17" s="56"/>
      <c r="AP17" s="56"/>
      <c r="AQ17" s="826">
        <v>3</v>
      </c>
      <c r="AR17" s="826">
        <v>3</v>
      </c>
      <c r="AS17" s="826">
        <v>3</v>
      </c>
      <c r="AT17" s="826">
        <v>3</v>
      </c>
      <c r="AU17" s="818"/>
      <c r="AV17" s="818"/>
      <c r="AW17" s="818"/>
      <c r="AX17" s="818"/>
      <c r="AY17" s="818"/>
      <c r="AZ17" s="818"/>
      <c r="BA17" s="818"/>
      <c r="BB17" s="818"/>
      <c r="BC17" s="818"/>
      <c r="BD17" s="866">
        <f t="shared" si="1"/>
        <v>12</v>
      </c>
      <c r="BE17" s="858"/>
    </row>
    <row r="18" spans="1:57" s="69" customFormat="1" ht="18" x14ac:dyDescent="0.35">
      <c r="A18" s="868"/>
      <c r="B18" s="703"/>
      <c r="C18" s="704" t="s">
        <v>220</v>
      </c>
      <c r="D18" s="705"/>
      <c r="E18" s="705"/>
      <c r="F18" s="706">
        <f>IF('Gårdens info'!D28&gt;0,J137/'Gårdens info'!I28,0)</f>
        <v>6</v>
      </c>
      <c r="G18" s="705" t="s">
        <v>57</v>
      </c>
      <c r="H18" s="707">
        <f>IF('Gårdens info'!$G$28&gt;0,F18/'Gårdens info'!$G$28,0)</f>
        <v>1.7647058823529412E-3</v>
      </c>
      <c r="I18" s="705" t="s">
        <v>206</v>
      </c>
      <c r="J18" s="706">
        <f>F18*'Gårdens info'!$D$28</f>
        <v>18</v>
      </c>
      <c r="K18" s="705" t="s">
        <v>554</v>
      </c>
      <c r="L18" s="705"/>
      <c r="M18" s="239"/>
      <c r="N18" s="227"/>
      <c r="O18" s="1088" t="s">
        <v>54</v>
      </c>
      <c r="P18" s="1088"/>
      <c r="Q18" s="1088"/>
      <c r="R18" s="120"/>
      <c r="S18" s="375">
        <f>SUM(S10:S17)</f>
        <v>0.99999999999999989</v>
      </c>
      <c r="T18" s="120"/>
      <c r="U18" s="234"/>
      <c r="AB18" s="809"/>
      <c r="AE18" s="291" t="s">
        <v>567</v>
      </c>
      <c r="AF18" s="818"/>
      <c r="AG18" s="818"/>
      <c r="AH18" s="818"/>
      <c r="AI18" s="818"/>
      <c r="AJ18" s="818"/>
      <c r="AK18" s="818"/>
      <c r="AL18" s="818"/>
      <c r="AM18" s="818"/>
      <c r="AN18" s="818"/>
      <c r="AO18" s="818"/>
      <c r="AP18" s="818"/>
      <c r="AQ18" s="818"/>
      <c r="AR18" s="818"/>
      <c r="AS18" s="818"/>
      <c r="AT18" s="56"/>
      <c r="AU18" s="826">
        <v>4</v>
      </c>
      <c r="AV18" s="818"/>
      <c r="AW18" s="818"/>
      <c r="AX18" s="818"/>
      <c r="AY18" s="818"/>
      <c r="AZ18" s="818"/>
      <c r="BA18" s="818"/>
      <c r="BB18" s="818"/>
      <c r="BC18" s="818"/>
      <c r="BD18" s="866">
        <f t="shared" si="1"/>
        <v>4</v>
      </c>
      <c r="BE18" s="858"/>
    </row>
    <row r="19" spans="1:57" s="69" customFormat="1" ht="17.399999999999999" x14ac:dyDescent="0.3">
      <c r="A19" s="868"/>
      <c r="B19" s="703"/>
      <c r="C19" s="704" t="s">
        <v>568</v>
      </c>
      <c r="D19" s="705"/>
      <c r="E19" s="705"/>
      <c r="F19" s="706">
        <f>IF('Gårdens info'!D28&gt;0,J145/'Gårdens info'!I28,0)</f>
        <v>24.333333333333332</v>
      </c>
      <c r="G19" s="705" t="s">
        <v>57</v>
      </c>
      <c r="H19" s="707">
        <f>IF('Gårdens info'!$G$28&gt;0,F19/'Gårdens info'!$G$28,0)</f>
        <v>7.1568627450980388E-3</v>
      </c>
      <c r="I19" s="705" t="s">
        <v>206</v>
      </c>
      <c r="J19" s="706">
        <f>F19*'Gårdens info'!$D$28</f>
        <v>73</v>
      </c>
      <c r="K19" s="705" t="s">
        <v>554</v>
      </c>
      <c r="L19" s="705"/>
      <c r="M19" s="239"/>
      <c r="N19" s="227"/>
      <c r="O19" s="376" t="str">
        <f>IF(S18=100%," ","HUOM! Osuus myyynneistä pitää summautua 100 prosenttiin")</f>
        <v xml:space="preserve"> </v>
      </c>
      <c r="P19" s="119"/>
      <c r="R19" s="119"/>
      <c r="S19" s="119"/>
      <c r="T19" s="119"/>
      <c r="U19" s="239"/>
      <c r="AB19" s="809"/>
      <c r="AE19" s="291" t="s">
        <v>337</v>
      </c>
      <c r="AF19" s="56"/>
      <c r="AG19" s="56"/>
      <c r="AH19" s="56"/>
      <c r="AI19" s="56"/>
      <c r="AJ19" s="56"/>
      <c r="AK19" s="56"/>
      <c r="AL19" s="56"/>
      <c r="AM19" s="56"/>
      <c r="AN19" s="56"/>
      <c r="AO19" s="56"/>
      <c r="AP19" s="56"/>
      <c r="AQ19" s="826">
        <v>2</v>
      </c>
      <c r="AR19" s="826">
        <v>2</v>
      </c>
      <c r="AS19" s="56"/>
      <c r="AT19" s="56"/>
      <c r="AU19" s="56"/>
      <c r="AV19" s="56"/>
      <c r="AW19" s="826">
        <v>2</v>
      </c>
      <c r="AX19" s="826"/>
      <c r="AY19" s="56"/>
      <c r="AZ19" s="56"/>
      <c r="BA19" s="56"/>
      <c r="BB19" s="56"/>
      <c r="BC19" s="56"/>
      <c r="BD19" s="866">
        <f t="shared" si="1"/>
        <v>6</v>
      </c>
      <c r="BE19" s="857"/>
    </row>
    <row r="20" spans="1:57" s="69" customFormat="1" ht="18" thickBot="1" x14ac:dyDescent="0.35">
      <c r="A20" s="868"/>
      <c r="B20" s="703"/>
      <c r="C20" s="704" t="s">
        <v>224</v>
      </c>
      <c r="D20" s="705"/>
      <c r="E20" s="705"/>
      <c r="F20" s="706">
        <f>IF('Gårdens info'!D28&gt;0,J155/'Gårdens info'!I28,0)</f>
        <v>158.33333333333334</v>
      </c>
      <c r="G20" s="705" t="s">
        <v>57</v>
      </c>
      <c r="H20" s="707">
        <f>IF('Gårdens info'!$G$28&gt;0,F20/'Gårdens info'!$G$28,0)</f>
        <v>4.6568627450980393E-2</v>
      </c>
      <c r="I20" s="705" t="s">
        <v>206</v>
      </c>
      <c r="J20" s="706">
        <f>F20*'Gårdens info'!$D$28</f>
        <v>475</v>
      </c>
      <c r="K20" s="705" t="s">
        <v>554</v>
      </c>
      <c r="L20" s="705"/>
      <c r="M20" s="239"/>
      <c r="N20" s="372"/>
      <c r="O20" s="373"/>
      <c r="P20" s="373"/>
      <c r="Q20" s="373"/>
      <c r="R20" s="373"/>
      <c r="S20" s="373"/>
      <c r="T20" s="373"/>
      <c r="U20" s="374"/>
      <c r="AB20" s="809"/>
      <c r="AE20" s="291" t="s">
        <v>569</v>
      </c>
      <c r="AF20" s="56"/>
      <c r="AG20" s="56"/>
      <c r="AH20" s="56"/>
      <c r="AI20" s="56"/>
      <c r="AJ20" s="56"/>
      <c r="AK20" s="56"/>
      <c r="AL20" s="56"/>
      <c r="AM20" s="56"/>
      <c r="AN20" s="56"/>
      <c r="AO20" s="56"/>
      <c r="AP20" s="56"/>
      <c r="AQ20" s="56"/>
      <c r="AR20" s="56"/>
      <c r="AS20" s="56"/>
      <c r="AT20" s="826">
        <v>20</v>
      </c>
      <c r="AU20" s="826">
        <v>20</v>
      </c>
      <c r="AV20" s="56"/>
      <c r="AW20" s="56"/>
      <c r="AX20" s="56"/>
      <c r="AY20" s="56"/>
      <c r="AZ20" s="56"/>
      <c r="BA20" s="56"/>
      <c r="BB20" s="56"/>
      <c r="BC20" s="56"/>
      <c r="BD20" s="866">
        <f t="shared" si="1"/>
        <v>40</v>
      </c>
      <c r="BE20" s="857"/>
    </row>
    <row r="21" spans="1:57" s="69" customFormat="1" ht="17.399999999999999" x14ac:dyDescent="0.3">
      <c r="A21" s="868"/>
      <c r="B21" s="703"/>
      <c r="C21" s="704" t="s">
        <v>570</v>
      </c>
      <c r="D21" s="705"/>
      <c r="E21" s="705"/>
      <c r="F21" s="706">
        <f>IF('Gårdens info'!D28&gt;0,L185/'Gårdens info'!I28,0)</f>
        <v>753.33333333333337</v>
      </c>
      <c r="G21" s="705" t="s">
        <v>57</v>
      </c>
      <c r="H21" s="707">
        <f>IF('Gårdens info'!$G$28&gt;0,F21/'Gårdens info'!$G$28,0)</f>
        <v>0.22156862745098041</v>
      </c>
      <c r="I21" s="705" t="s">
        <v>206</v>
      </c>
      <c r="J21" s="706">
        <f>F21*'Gårdens info'!$D$28</f>
        <v>2260</v>
      </c>
      <c r="K21" s="705" t="s">
        <v>554</v>
      </c>
      <c r="L21" s="705"/>
      <c r="M21" s="239"/>
      <c r="AB21" s="809"/>
      <c r="AE21" s="291" t="s">
        <v>571</v>
      </c>
      <c r="AF21" s="56"/>
      <c r="AG21" s="56"/>
      <c r="AH21" s="56"/>
      <c r="AI21" s="56"/>
      <c r="AJ21" s="56"/>
      <c r="AK21" s="56"/>
      <c r="AL21" s="56"/>
      <c r="AM21" s="56"/>
      <c r="AN21" s="56"/>
      <c r="AO21" s="56"/>
      <c r="AP21" s="56"/>
      <c r="AQ21" s="56"/>
      <c r="AR21" s="56"/>
      <c r="AS21" s="826">
        <v>20</v>
      </c>
      <c r="AT21" s="826">
        <v>20</v>
      </c>
      <c r="AU21" s="56"/>
      <c r="AV21" s="56"/>
      <c r="AW21" s="56"/>
      <c r="AX21" s="56"/>
      <c r="AY21" s="56"/>
      <c r="AZ21" s="56"/>
      <c r="BA21" s="56"/>
      <c r="BB21" s="56"/>
      <c r="BC21" s="56"/>
      <c r="BD21" s="866">
        <f t="shared" si="1"/>
        <v>40</v>
      </c>
      <c r="BE21" s="857"/>
    </row>
    <row r="22" spans="1:57" s="69" customFormat="1" ht="17.399999999999999" x14ac:dyDescent="0.3">
      <c r="A22" s="868"/>
      <c r="B22" s="703"/>
      <c r="C22" s="708" t="s">
        <v>54</v>
      </c>
      <c r="D22" s="709"/>
      <c r="E22" s="709"/>
      <c r="F22" s="710">
        <f>SUM(F16:F21)</f>
        <v>3025.3333333333339</v>
      </c>
      <c r="G22" s="709" t="s">
        <v>57</v>
      </c>
      <c r="H22" s="711">
        <f>SUM(H16:H21)</f>
        <v>0.88980392156862742</v>
      </c>
      <c r="I22" s="709" t="s">
        <v>206</v>
      </c>
      <c r="J22" s="710">
        <f>SUM(J16:J21)</f>
        <v>9076</v>
      </c>
      <c r="K22" s="709" t="s">
        <v>554</v>
      </c>
      <c r="L22" s="709"/>
      <c r="M22" s="239"/>
      <c r="AB22" s="809"/>
      <c r="AE22" s="291" t="s">
        <v>572</v>
      </c>
      <c r="AF22" s="56"/>
      <c r="AG22" s="56"/>
      <c r="AH22" s="56"/>
      <c r="AI22" s="56"/>
      <c r="AJ22" s="56"/>
      <c r="AK22" s="56"/>
      <c r="AL22" s="56"/>
      <c r="AM22" s="56"/>
      <c r="AN22" s="56"/>
      <c r="AO22" s="56"/>
      <c r="AP22" s="56"/>
      <c r="AQ22" s="56"/>
      <c r="AR22" s="56"/>
      <c r="AS22" s="56"/>
      <c r="AT22" s="56"/>
      <c r="AU22" s="56"/>
      <c r="AV22" s="56"/>
      <c r="AW22" s="56"/>
      <c r="AX22" s="56"/>
      <c r="AY22" s="826">
        <v>2</v>
      </c>
      <c r="AZ22" s="826">
        <v>2</v>
      </c>
      <c r="BA22" s="56"/>
      <c r="BB22" s="56"/>
      <c r="BC22" s="56"/>
      <c r="BD22" s="866">
        <f t="shared" si="1"/>
        <v>4</v>
      </c>
      <c r="BE22" s="857"/>
    </row>
    <row r="23" spans="1:57" ht="17.399999999999999" x14ac:dyDescent="0.3">
      <c r="B23" s="712"/>
      <c r="C23" s="713"/>
      <c r="D23" s="714"/>
      <c r="E23" s="714"/>
      <c r="F23" s="715"/>
      <c r="G23" s="705"/>
      <c r="H23" s="714"/>
      <c r="I23" s="714"/>
      <c r="J23" s="714"/>
      <c r="K23" s="714"/>
      <c r="L23" s="714"/>
      <c r="M23" s="226"/>
      <c r="N23" s="69"/>
      <c r="O23" s="69"/>
      <c r="P23" s="69"/>
      <c r="Q23" s="69"/>
      <c r="R23" s="69"/>
      <c r="S23" s="69"/>
      <c r="T23" s="69"/>
      <c r="U23" s="69"/>
      <c r="AB23" s="809"/>
      <c r="AE23" s="291" t="s">
        <v>352</v>
      </c>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866">
        <f t="shared" si="1"/>
        <v>0</v>
      </c>
      <c r="BE23" s="857"/>
    </row>
    <row r="24" spans="1:57" s="56" customFormat="1" ht="17.399999999999999" x14ac:dyDescent="0.3">
      <c r="A24" s="880"/>
      <c r="B24" s="1134" t="s">
        <v>240</v>
      </c>
      <c r="C24" s="1135"/>
      <c r="D24" s="1135"/>
      <c r="E24" s="701"/>
      <c r="F24" s="716"/>
      <c r="G24" s="701"/>
      <c r="H24" s="701"/>
      <c r="I24" s="701"/>
      <c r="J24" s="701"/>
      <c r="K24" s="701"/>
      <c r="L24" s="701"/>
      <c r="M24" s="234"/>
      <c r="N24" s="69"/>
      <c r="O24" s="69"/>
      <c r="P24" s="69"/>
      <c r="Q24" s="69"/>
      <c r="R24" s="69"/>
      <c r="S24" s="69"/>
      <c r="T24" s="69"/>
      <c r="U24" s="69"/>
      <c r="AB24" s="690" t="s">
        <v>573</v>
      </c>
      <c r="AC24" s="727">
        <f>F43</f>
        <v>2083.3333333333335</v>
      </c>
      <c r="AD24" s="697"/>
      <c r="AE24" s="291" t="s">
        <v>352</v>
      </c>
      <c r="BD24" s="866">
        <f t="shared" si="1"/>
        <v>0</v>
      </c>
      <c r="BE24" s="857"/>
    </row>
    <row r="25" spans="1:57" s="69" customFormat="1" ht="17.399999999999999" x14ac:dyDescent="0.3">
      <c r="A25" s="868"/>
      <c r="B25" s="703"/>
      <c r="C25" s="704" t="s">
        <v>219</v>
      </c>
      <c r="D25" s="705"/>
      <c r="E25" s="705"/>
      <c r="F25" s="706">
        <f>IF('Gårdens info'!D28&gt;0,J198,0)</f>
        <v>600</v>
      </c>
      <c r="G25" s="705" t="s">
        <v>57</v>
      </c>
      <c r="H25" s="707">
        <f>IF('Gårdens info'!$G$28&gt;0,F25/'Gårdens info'!$G$28,0)</f>
        <v>0.17647058823529413</v>
      </c>
      <c r="I25" s="705" t="s">
        <v>206</v>
      </c>
      <c r="J25" s="706">
        <f>F25*'Gårdens info'!$D$28</f>
        <v>1800</v>
      </c>
      <c r="K25" s="705" t="s">
        <v>554</v>
      </c>
      <c r="L25" s="705"/>
      <c r="M25" s="239"/>
      <c r="Q25" s="56"/>
      <c r="AB25" s="690" t="s">
        <v>219</v>
      </c>
      <c r="AC25" s="727">
        <f t="shared" ref="AC25:AC32" si="3">F44</f>
        <v>600</v>
      </c>
      <c r="AD25" s="723"/>
      <c r="AE25" s="291" t="s">
        <v>352</v>
      </c>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866">
        <f t="shared" si="1"/>
        <v>0</v>
      </c>
      <c r="BE25" s="857"/>
    </row>
    <row r="26" spans="1:57" s="69" customFormat="1" ht="17.399999999999999" x14ac:dyDescent="0.3">
      <c r="A26" s="868"/>
      <c r="B26" s="703"/>
      <c r="C26" s="704" t="s">
        <v>220</v>
      </c>
      <c r="D26" s="705"/>
      <c r="E26" s="705"/>
      <c r="F26" s="706">
        <f>IF('Gårdens info'!D28&gt;0,J217,0)</f>
        <v>1229.3</v>
      </c>
      <c r="G26" s="705" t="s">
        <v>57</v>
      </c>
      <c r="H26" s="707">
        <f>IF('Gårdens info'!$G$28&gt;0,F26/'Gårdens info'!$G$28,0)</f>
        <v>0.36155882352941177</v>
      </c>
      <c r="I26" s="705" t="s">
        <v>206</v>
      </c>
      <c r="J26" s="706">
        <f>F26*'Gårdens info'!$D$28</f>
        <v>3687.8999999999996</v>
      </c>
      <c r="K26" s="705" t="s">
        <v>554</v>
      </c>
      <c r="L26" s="705"/>
      <c r="M26" s="239"/>
      <c r="N26"/>
      <c r="O26"/>
      <c r="P26"/>
      <c r="S26"/>
      <c r="T26"/>
      <c r="U26"/>
      <c r="AB26" s="690" t="s">
        <v>220</v>
      </c>
      <c r="AC26" s="727">
        <f t="shared" si="3"/>
        <v>1245.8</v>
      </c>
      <c r="AD26" s="723"/>
      <c r="AE26" s="861" t="s">
        <v>354</v>
      </c>
      <c r="AF26" s="867">
        <f>SUM(AF6:AF25)</f>
        <v>0</v>
      </c>
      <c r="AG26" s="867">
        <f t="shared" ref="AG26:BC26" si="4">SUM(AG6:AG25)</f>
        <v>0</v>
      </c>
      <c r="AH26" s="867">
        <f t="shared" si="4"/>
        <v>0</v>
      </c>
      <c r="AI26" s="867">
        <f t="shared" si="4"/>
        <v>0</v>
      </c>
      <c r="AJ26" s="867">
        <f t="shared" si="4"/>
        <v>0</v>
      </c>
      <c r="AK26" s="867">
        <f t="shared" si="4"/>
        <v>0</v>
      </c>
      <c r="AL26" s="867">
        <f t="shared" si="4"/>
        <v>0</v>
      </c>
      <c r="AM26" s="867">
        <f t="shared" si="4"/>
        <v>5</v>
      </c>
      <c r="AN26" s="867">
        <f t="shared" si="4"/>
        <v>8</v>
      </c>
      <c r="AO26" s="867">
        <f t="shared" si="4"/>
        <v>27</v>
      </c>
      <c r="AP26" s="867">
        <f t="shared" si="4"/>
        <v>23</v>
      </c>
      <c r="AQ26" s="867">
        <f t="shared" si="4"/>
        <v>8</v>
      </c>
      <c r="AR26" s="867">
        <f t="shared" si="4"/>
        <v>5</v>
      </c>
      <c r="AS26" s="867">
        <f t="shared" si="4"/>
        <v>26</v>
      </c>
      <c r="AT26" s="867">
        <f t="shared" si="4"/>
        <v>46</v>
      </c>
      <c r="AU26" s="867">
        <f t="shared" si="4"/>
        <v>24</v>
      </c>
      <c r="AV26" s="867">
        <f t="shared" si="4"/>
        <v>2</v>
      </c>
      <c r="AW26" s="867">
        <f t="shared" si="4"/>
        <v>2</v>
      </c>
      <c r="AX26" s="867">
        <f t="shared" si="4"/>
        <v>0</v>
      </c>
      <c r="AY26" s="867">
        <f t="shared" si="4"/>
        <v>2</v>
      </c>
      <c r="AZ26" s="867">
        <f t="shared" si="4"/>
        <v>4</v>
      </c>
      <c r="BA26" s="867">
        <f t="shared" si="4"/>
        <v>0</v>
      </c>
      <c r="BB26" s="867">
        <f t="shared" si="4"/>
        <v>2</v>
      </c>
      <c r="BC26" s="867">
        <f t="shared" si="4"/>
        <v>0</v>
      </c>
      <c r="BD26" s="867">
        <f>SUM(BD6:BD25)</f>
        <v>184</v>
      </c>
      <c r="BE26" s="863" t="s">
        <v>327</v>
      </c>
    </row>
    <row r="27" spans="1:57" s="69" customFormat="1" ht="17.399999999999999" x14ac:dyDescent="0.3">
      <c r="A27" s="868"/>
      <c r="B27" s="703"/>
      <c r="C27" s="704" t="s">
        <v>574</v>
      </c>
      <c r="D27" s="705"/>
      <c r="E27" s="705"/>
      <c r="F27" s="706">
        <f>IF('Gårdens info'!D28&gt;0,J225,0)</f>
        <v>800</v>
      </c>
      <c r="G27" s="705" t="s">
        <v>57</v>
      </c>
      <c r="H27" s="707">
        <f>IF('Gårdens info'!$G$28&gt;0,F27/'Gårdens info'!$G$28,0)</f>
        <v>0.23529411764705882</v>
      </c>
      <c r="I27" s="705" t="s">
        <v>206</v>
      </c>
      <c r="J27" s="706">
        <f>F27*'Gårdens info'!$D$28</f>
        <v>2400</v>
      </c>
      <c r="K27" s="705" t="s">
        <v>554</v>
      </c>
      <c r="L27" s="705"/>
      <c r="M27" s="239"/>
      <c r="N27" s="56"/>
      <c r="O27" s="56"/>
      <c r="P27" s="56"/>
      <c r="S27" s="56"/>
      <c r="T27" s="56"/>
      <c r="U27" s="56"/>
      <c r="AB27" s="953" t="str">
        <f t="shared" ref="AB27:AB32" si="5">C27</f>
        <v>Pollinering</v>
      </c>
      <c r="AC27" s="727">
        <f t="shared" si="3"/>
        <v>800</v>
      </c>
      <c r="AD27" s="723"/>
      <c r="AE27" s="861"/>
      <c r="AF27" s="867"/>
      <c r="AG27" s="867"/>
      <c r="AH27" s="867"/>
      <c r="AI27" s="867"/>
      <c r="AJ27" s="867"/>
      <c r="AK27" s="867"/>
      <c r="AL27" s="867"/>
      <c r="AM27" s="867"/>
      <c r="AN27" s="867"/>
      <c r="AO27" s="867"/>
      <c r="AP27" s="867"/>
      <c r="AQ27" s="867"/>
      <c r="AR27" s="867"/>
      <c r="AS27" s="867"/>
      <c r="AT27" s="867"/>
      <c r="AU27" s="867"/>
      <c r="AV27" s="867"/>
      <c r="AW27" s="867"/>
      <c r="AX27" s="867"/>
      <c r="AY27" s="867"/>
      <c r="AZ27" s="867"/>
      <c r="BA27" s="867"/>
      <c r="BB27" s="867"/>
      <c r="BC27" s="867"/>
      <c r="BD27" s="867"/>
      <c r="BE27" s="863"/>
    </row>
    <row r="28" spans="1:57" s="69" customFormat="1" ht="17.399999999999999" x14ac:dyDescent="0.3">
      <c r="A28" s="868"/>
      <c r="B28" s="703"/>
      <c r="C28" s="704" t="s">
        <v>575</v>
      </c>
      <c r="D28" s="705"/>
      <c r="E28" s="705"/>
      <c r="F28" s="706">
        <f>IF('Gårdens info'!D28&gt;0,J238,0)</f>
        <v>513.4</v>
      </c>
      <c r="G28" s="705" t="s">
        <v>57</v>
      </c>
      <c r="H28" s="707">
        <f>IF('Gårdens info'!$G$28&gt;0,F28/'Gårdens info'!$G$28,0)</f>
        <v>0.151</v>
      </c>
      <c r="I28" s="705" t="s">
        <v>206</v>
      </c>
      <c r="J28" s="706">
        <f>F28*'Gårdens info'!$D$28</f>
        <v>1540.1999999999998</v>
      </c>
      <c r="K28" s="705" t="s">
        <v>554</v>
      </c>
      <c r="L28" s="705"/>
      <c r="M28" s="239"/>
      <c r="N28" s="56"/>
      <c r="O28" s="56"/>
      <c r="P28" s="56"/>
      <c r="S28" s="56"/>
      <c r="T28" s="56"/>
      <c r="U28" s="56"/>
      <c r="AB28" s="726" t="str">
        <f t="shared" si="5"/>
        <v>Förpackningsmaterial</v>
      </c>
      <c r="AC28" s="727">
        <f t="shared" si="3"/>
        <v>513.4</v>
      </c>
      <c r="AD28" s="723"/>
      <c r="AE28" s="291"/>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794"/>
      <c r="BE28" s="864"/>
    </row>
    <row r="29" spans="1:57" s="69" customFormat="1" ht="17.399999999999999" x14ac:dyDescent="0.3">
      <c r="A29" s="868"/>
      <c r="B29" s="703"/>
      <c r="C29" s="704" t="s">
        <v>576</v>
      </c>
      <c r="D29" s="705"/>
      <c r="E29" s="705"/>
      <c r="F29" s="706">
        <f>IF('Gårdens info'!D28&gt;0,J246,0)</f>
        <v>1530</v>
      </c>
      <c r="G29" s="705" t="s">
        <v>57</v>
      </c>
      <c r="H29" s="707">
        <f>IF('Gårdens info'!$G$28&gt;0,F29/'Gårdens info'!$G$28,0)</f>
        <v>0.45</v>
      </c>
      <c r="I29" s="705" t="s">
        <v>206</v>
      </c>
      <c r="J29" s="706">
        <f>F29*'Gårdens info'!$D$28</f>
        <v>4590</v>
      </c>
      <c r="K29" s="705" t="s">
        <v>554</v>
      </c>
      <c r="L29" s="705"/>
      <c r="M29" s="239"/>
      <c r="AB29" s="726" t="str">
        <f t="shared" si="5"/>
        <v>Frakt av produkter</v>
      </c>
      <c r="AC29" s="727">
        <f t="shared" si="3"/>
        <v>1530</v>
      </c>
      <c r="AD29" s="723"/>
      <c r="AE29" s="793" t="s">
        <v>577</v>
      </c>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794"/>
      <c r="BE29" s="864"/>
    </row>
    <row r="30" spans="1:57" s="69" customFormat="1" ht="17.399999999999999" x14ac:dyDescent="0.3">
      <c r="A30" s="868"/>
      <c r="B30" s="703"/>
      <c r="C30" s="704" t="s">
        <v>568</v>
      </c>
      <c r="D30" s="705"/>
      <c r="E30" s="705"/>
      <c r="F30" s="706">
        <f>IF('Gårdens info'!D28&gt;0,J254,0)</f>
        <v>0</v>
      </c>
      <c r="G30" s="705" t="s">
        <v>57</v>
      </c>
      <c r="H30" s="707">
        <f>IF('Gårdens info'!$G$28&gt;0,F30/'Gårdens info'!$G$28,0)</f>
        <v>0</v>
      </c>
      <c r="I30" s="705" t="s">
        <v>206</v>
      </c>
      <c r="J30" s="706">
        <f>F30*'Gårdens info'!$D$28</f>
        <v>0</v>
      </c>
      <c r="K30" s="705" t="s">
        <v>554</v>
      </c>
      <c r="L30" s="705"/>
      <c r="M30" s="239"/>
      <c r="AB30" s="726" t="str">
        <f t="shared" si="5"/>
        <v>Maskinhyra och entreprenad</v>
      </c>
      <c r="AC30" s="727">
        <f t="shared" si="3"/>
        <v>48.666666666666664</v>
      </c>
      <c r="AD30" s="723"/>
      <c r="AE30" s="291" t="s">
        <v>572</v>
      </c>
      <c r="AF30" s="56"/>
      <c r="AG30" s="56"/>
      <c r="AH30" s="56"/>
      <c r="AI30" s="56"/>
      <c r="AJ30" s="56"/>
      <c r="AK30" s="56"/>
      <c r="AL30" s="56"/>
      <c r="AM30" s="826">
        <v>2</v>
      </c>
      <c r="AN30" s="56"/>
      <c r="AO30" s="56"/>
      <c r="AP30" s="56"/>
      <c r="AQ30" s="56"/>
      <c r="AR30" s="56"/>
      <c r="AS30" s="56"/>
      <c r="AT30" s="56"/>
      <c r="AU30" s="56"/>
      <c r="AV30" s="56"/>
      <c r="AW30" s="56"/>
      <c r="AX30" s="56"/>
      <c r="AY30" s="56"/>
      <c r="AZ30" s="56"/>
      <c r="BA30" s="56"/>
      <c r="BB30" s="56"/>
      <c r="BC30" s="56"/>
      <c r="BD30" s="866">
        <f t="shared" ref="BD30:BD36" si="6">SUM(AF30:BB30)</f>
        <v>2</v>
      </c>
      <c r="BE30" s="857" t="s">
        <v>327</v>
      </c>
    </row>
    <row r="31" spans="1:57" s="69" customFormat="1" ht="17.399999999999999" x14ac:dyDescent="0.3">
      <c r="A31" s="868"/>
      <c r="B31" s="703"/>
      <c r="C31" s="704" t="s">
        <v>224</v>
      </c>
      <c r="D31" s="705"/>
      <c r="E31" s="705"/>
      <c r="F31" s="706">
        <f>IF('Gårdens info'!D28&gt;0,J266,0)</f>
        <v>1392.3679999999999</v>
      </c>
      <c r="G31" s="705" t="s">
        <v>57</v>
      </c>
      <c r="H31" s="707">
        <f>IF('Gårdens info'!$G$28&gt;0,F31/'Gårdens info'!$G$28,0)</f>
        <v>0.40952</v>
      </c>
      <c r="I31" s="705" t="s">
        <v>206</v>
      </c>
      <c r="J31" s="706">
        <f>F31*'Gårdens info'!$D$28</f>
        <v>4177.1039999999994</v>
      </c>
      <c r="K31" s="705" t="s">
        <v>554</v>
      </c>
      <c r="L31" s="705"/>
      <c r="M31" s="239"/>
      <c r="AB31" s="726" t="str">
        <f t="shared" si="5"/>
        <v>Energikostnader</v>
      </c>
      <c r="AC31" s="727">
        <f t="shared" si="3"/>
        <v>1729.4613333333332</v>
      </c>
      <c r="AD31" s="723"/>
      <c r="AE31" s="291" t="s">
        <v>578</v>
      </c>
      <c r="AF31" s="56"/>
      <c r="AG31" s="56"/>
      <c r="AH31" s="56"/>
      <c r="AI31" s="56"/>
      <c r="AJ31" s="56"/>
      <c r="AK31" s="56"/>
      <c r="AL31" s="56"/>
      <c r="AM31" s="56"/>
      <c r="AN31" s="826">
        <v>3</v>
      </c>
      <c r="AO31" s="826"/>
      <c r="AP31" s="56"/>
      <c r="AQ31" s="56"/>
      <c r="AR31" s="56"/>
      <c r="AS31" s="56"/>
      <c r="AT31" s="56"/>
      <c r="AU31" s="56"/>
      <c r="AV31" s="56"/>
      <c r="AW31" s="56"/>
      <c r="AX31" s="56"/>
      <c r="AY31" s="56"/>
      <c r="AZ31" s="56"/>
      <c r="BA31" s="56"/>
      <c r="BB31" s="56"/>
      <c r="BC31" s="56"/>
      <c r="BD31" s="866">
        <f t="shared" si="6"/>
        <v>3</v>
      </c>
      <c r="BE31" s="857"/>
    </row>
    <row r="32" spans="1:57" s="69" customFormat="1" ht="17.399999999999999" x14ac:dyDescent="0.3">
      <c r="A32" s="868"/>
      <c r="B32" s="703"/>
      <c r="C32" s="704" t="s">
        <v>570</v>
      </c>
      <c r="D32" s="705"/>
      <c r="E32" s="705"/>
      <c r="F32" s="706">
        <f>IF('Gårdens info'!D28&gt;0,L302,0)</f>
        <v>4940</v>
      </c>
      <c r="G32" s="705" t="s">
        <v>57</v>
      </c>
      <c r="H32" s="707">
        <f>IF('Gårdens info'!$G$28&gt;0,F32/'Gårdens info'!$G$28,0)</f>
        <v>1.4529411764705882</v>
      </c>
      <c r="I32" s="705" t="s">
        <v>206</v>
      </c>
      <c r="J32" s="706">
        <f>F32*'Gårdens info'!$D$28</f>
        <v>14820</v>
      </c>
      <c r="K32" s="705" t="s">
        <v>554</v>
      </c>
      <c r="L32" s="705"/>
      <c r="M32" s="239"/>
      <c r="AB32" s="726" t="str">
        <f t="shared" si="5"/>
        <v>Anställd personal</v>
      </c>
      <c r="AC32" s="727">
        <f t="shared" si="3"/>
        <v>5838.333333333333</v>
      </c>
      <c r="AD32" s="723"/>
      <c r="AE32" s="291" t="s">
        <v>579</v>
      </c>
      <c r="AF32" s="56"/>
      <c r="AG32" s="56"/>
      <c r="AH32" s="56"/>
      <c r="AI32" s="56"/>
      <c r="AJ32" s="56"/>
      <c r="AK32" s="56"/>
      <c r="AL32" s="56"/>
      <c r="AM32" s="56"/>
      <c r="AN32" s="56"/>
      <c r="AO32" s="826">
        <v>4</v>
      </c>
      <c r="AP32" s="826">
        <v>4</v>
      </c>
      <c r="AQ32" s="56"/>
      <c r="AR32" s="56"/>
      <c r="AS32" s="56"/>
      <c r="AT32" s="56"/>
      <c r="AU32" s="56"/>
      <c r="AV32" s="56"/>
      <c r="AW32" s="56"/>
      <c r="AX32" s="56"/>
      <c r="AY32" s="56"/>
      <c r="AZ32" s="56"/>
      <c r="BA32" s="56"/>
      <c r="BB32" s="56"/>
      <c r="BC32" s="56"/>
      <c r="BD32" s="866">
        <f t="shared" si="6"/>
        <v>8</v>
      </c>
      <c r="BE32" s="857"/>
    </row>
    <row r="33" spans="1:57" s="192" customFormat="1" ht="17.399999999999999" x14ac:dyDescent="0.3">
      <c r="A33" s="869"/>
      <c r="B33" s="717"/>
      <c r="C33" s="708" t="s">
        <v>54</v>
      </c>
      <c r="D33" s="709"/>
      <c r="E33" s="709"/>
      <c r="F33" s="710">
        <f>SUM(F25:F32)</f>
        <v>11005.068000000001</v>
      </c>
      <c r="G33" s="709" t="s">
        <v>57</v>
      </c>
      <c r="H33" s="711">
        <f>SUM(H25:H32)</f>
        <v>3.2367847058823527</v>
      </c>
      <c r="I33" s="709" t="s">
        <v>206</v>
      </c>
      <c r="J33" s="710">
        <f>SUM(J25:J32)</f>
        <v>33015.203999999998</v>
      </c>
      <c r="K33" s="709" t="s">
        <v>554</v>
      </c>
      <c r="L33" s="709"/>
      <c r="M33" s="252"/>
      <c r="N33" s="69"/>
      <c r="O33" s="69"/>
      <c r="P33" s="69"/>
      <c r="Q33" s="69"/>
      <c r="R33" s="69"/>
      <c r="S33" s="69"/>
      <c r="T33" s="69"/>
      <c r="U33" s="69"/>
      <c r="AB33" s="384" t="s">
        <v>538</v>
      </c>
      <c r="AC33" s="692">
        <f>F55</f>
        <v>238.29787234042553</v>
      </c>
      <c r="AD33" s="724"/>
      <c r="AE33" s="291" t="s">
        <v>574</v>
      </c>
      <c r="AF33" s="56"/>
      <c r="AG33" s="56"/>
      <c r="AH33" s="56"/>
      <c r="AI33" s="56"/>
      <c r="AJ33" s="56"/>
      <c r="AK33" s="56"/>
      <c r="AL33" s="56"/>
      <c r="AM33" s="56"/>
      <c r="AN33" s="56"/>
      <c r="AO33" s="826">
        <v>2</v>
      </c>
      <c r="AP33" s="826"/>
      <c r="AQ33" s="826">
        <v>1</v>
      </c>
      <c r="AR33" s="826"/>
      <c r="AS33" s="826">
        <v>1</v>
      </c>
      <c r="AT33" s="56"/>
      <c r="AU33" s="56"/>
      <c r="AV33" s="56"/>
      <c r="AW33" s="56"/>
      <c r="AX33" s="56"/>
      <c r="AY33" s="56"/>
      <c r="AZ33" s="56"/>
      <c r="BA33" s="56"/>
      <c r="BB33" s="56"/>
      <c r="BC33" s="56"/>
      <c r="BD33" s="866">
        <f t="shared" si="6"/>
        <v>4</v>
      </c>
      <c r="BE33" s="857"/>
    </row>
    <row r="34" spans="1:57" ht="17.399999999999999" x14ac:dyDescent="0.3">
      <c r="B34" s="712"/>
      <c r="C34" s="713"/>
      <c r="D34" s="714"/>
      <c r="E34" s="714"/>
      <c r="F34" s="715"/>
      <c r="G34" s="705"/>
      <c r="H34" s="714"/>
      <c r="I34" s="714"/>
      <c r="J34" s="714"/>
      <c r="K34" s="714"/>
      <c r="L34" s="714"/>
      <c r="M34" s="226"/>
      <c r="N34" s="69"/>
      <c r="O34" s="69"/>
      <c r="P34" s="69"/>
      <c r="Q34" s="192"/>
      <c r="R34" s="192"/>
      <c r="S34" s="69"/>
      <c r="T34" s="69"/>
      <c r="U34" s="69"/>
      <c r="AB34" s="382" t="s">
        <v>482</v>
      </c>
      <c r="AC34" s="692">
        <f>F56</f>
        <v>187.23404255319147</v>
      </c>
      <c r="AD34" s="725"/>
      <c r="AE34" s="291" t="s">
        <v>580</v>
      </c>
      <c r="AF34" s="56"/>
      <c r="AG34" s="56"/>
      <c r="AH34" s="56"/>
      <c r="AI34" s="56"/>
      <c r="AJ34" s="56"/>
      <c r="AK34" s="56"/>
      <c r="AL34" s="56"/>
      <c r="AM34" s="56"/>
      <c r="AN34" s="56"/>
      <c r="AO34" s="56"/>
      <c r="AP34" s="56"/>
      <c r="AQ34" s="826">
        <v>3</v>
      </c>
      <c r="AR34" s="826">
        <v>3</v>
      </c>
      <c r="AS34" s="826">
        <v>3</v>
      </c>
      <c r="AT34" s="826">
        <v>3</v>
      </c>
      <c r="AU34" s="56"/>
      <c r="AV34" s="56"/>
      <c r="AW34" s="56"/>
      <c r="AX34" s="56"/>
      <c r="AY34" s="56"/>
      <c r="AZ34" s="56"/>
      <c r="BA34" s="56"/>
      <c r="BB34" s="56"/>
      <c r="BC34" s="56"/>
      <c r="BD34" s="866">
        <f t="shared" si="6"/>
        <v>12</v>
      </c>
      <c r="BE34" s="857"/>
    </row>
    <row r="35" spans="1:57" ht="17.399999999999999" x14ac:dyDescent="0.3">
      <c r="B35" s="1134" t="s">
        <v>581</v>
      </c>
      <c r="C35" s="1135"/>
      <c r="D35" s="1135"/>
      <c r="E35" s="714"/>
      <c r="F35" s="714"/>
      <c r="G35" s="714"/>
      <c r="H35" s="714"/>
      <c r="I35" s="714"/>
      <c r="J35" s="714"/>
      <c r="K35" s="714"/>
      <c r="L35" s="714"/>
      <c r="M35" s="226"/>
      <c r="N35" s="69"/>
      <c r="O35" s="69"/>
      <c r="P35" s="69"/>
      <c r="S35" s="69"/>
      <c r="T35" s="69"/>
      <c r="U35" s="69"/>
      <c r="AB35" s="382" t="s">
        <v>235</v>
      </c>
      <c r="AC35" s="693">
        <f>F65</f>
        <v>611.92639447958607</v>
      </c>
      <c r="AD35" s="725"/>
      <c r="AE35" s="291" t="s">
        <v>571</v>
      </c>
      <c r="AF35" s="56"/>
      <c r="AG35" s="56"/>
      <c r="AH35" s="56"/>
      <c r="AI35" s="56"/>
      <c r="AJ35" s="56"/>
      <c r="AK35" s="56"/>
      <c r="AL35" s="56"/>
      <c r="AM35" s="56"/>
      <c r="AN35" s="56"/>
      <c r="AO35" s="56"/>
      <c r="AP35" s="56"/>
      <c r="AQ35" s="56"/>
      <c r="AR35" s="56"/>
      <c r="AS35" s="826">
        <v>15</v>
      </c>
      <c r="AT35" s="826">
        <v>15</v>
      </c>
      <c r="AU35" s="56"/>
      <c r="AV35" s="56"/>
      <c r="AW35" s="56"/>
      <c r="AX35" s="56"/>
      <c r="AY35" s="56"/>
      <c r="AZ35" s="56"/>
      <c r="BA35" s="56"/>
      <c r="BB35" s="56"/>
      <c r="BC35" s="56"/>
      <c r="BD35" s="866">
        <f t="shared" si="6"/>
        <v>30</v>
      </c>
      <c r="BE35" s="857"/>
    </row>
    <row r="36" spans="1:57" ht="17.399999999999999" x14ac:dyDescent="0.3">
      <c r="B36" s="712"/>
      <c r="C36" s="704" t="s">
        <v>220</v>
      </c>
      <c r="D36" s="705"/>
      <c r="E36" s="705"/>
      <c r="F36" s="706">
        <f>IF('Gårdens info'!D28&gt;0,J325/'Gårdens info'!I28,0)</f>
        <v>10.5</v>
      </c>
      <c r="G36" s="705" t="s">
        <v>57</v>
      </c>
      <c r="H36" s="707">
        <f>IF('Gårdens info'!$G$28&gt;0,F36/'Gårdens info'!$G$28,0)</f>
        <v>3.0882352941176468E-3</v>
      </c>
      <c r="I36" s="705" t="s">
        <v>206</v>
      </c>
      <c r="J36" s="706">
        <f>F36*'Gårdens info'!$D$28</f>
        <v>31.5</v>
      </c>
      <c r="K36" s="705" t="s">
        <v>554</v>
      </c>
      <c r="L36" s="714"/>
      <c r="M36" s="226"/>
      <c r="N36" s="192"/>
      <c r="O36" s="192"/>
      <c r="P36" s="192"/>
      <c r="S36" s="192"/>
      <c r="T36" s="192"/>
      <c r="U36" s="192"/>
      <c r="AB36" s="382" t="s">
        <v>236</v>
      </c>
      <c r="AC36" s="728">
        <f>F72</f>
        <v>473.41617257683214</v>
      </c>
      <c r="AD36" s="725"/>
      <c r="AE36" s="291" t="s">
        <v>338</v>
      </c>
      <c r="AF36" s="56"/>
      <c r="AG36" s="56"/>
      <c r="AH36" s="56"/>
      <c r="AI36" s="56"/>
      <c r="AJ36" s="56"/>
      <c r="AK36" s="56"/>
      <c r="AL36" s="56"/>
      <c r="AM36" s="56"/>
      <c r="AN36" s="826">
        <v>3</v>
      </c>
      <c r="AO36" s="826">
        <v>3</v>
      </c>
      <c r="AP36" s="56"/>
      <c r="AQ36" s="56"/>
      <c r="AR36" s="56"/>
      <c r="AS36" s="56"/>
      <c r="AT36" s="56"/>
      <c r="AU36" s="56"/>
      <c r="AV36" s="56"/>
      <c r="AW36" s="56"/>
      <c r="AX36" s="56"/>
      <c r="AY36" s="56"/>
      <c r="AZ36" s="56"/>
      <c r="BA36" s="56"/>
      <c r="BB36" s="56"/>
      <c r="BC36" s="56"/>
      <c r="BD36" s="866">
        <f t="shared" si="6"/>
        <v>6</v>
      </c>
      <c r="BE36" s="857"/>
    </row>
    <row r="37" spans="1:57" s="69" customFormat="1" ht="17.399999999999999" x14ac:dyDescent="0.3">
      <c r="A37" s="868"/>
      <c r="B37" s="703"/>
      <c r="C37" s="704" t="s">
        <v>568</v>
      </c>
      <c r="D37" s="705"/>
      <c r="E37" s="705"/>
      <c r="F37" s="706">
        <f>IF('Gårdens info'!D28&gt;0,J333/'Gårdens info'!I28,0)</f>
        <v>24.333333333333332</v>
      </c>
      <c r="G37" s="705" t="s">
        <v>57</v>
      </c>
      <c r="H37" s="707">
        <f>IF('Gårdens info'!$G$28&gt;0,F37/'Gårdens info'!$G$28,0)</f>
        <v>7.1568627450980388E-3</v>
      </c>
      <c r="I37" s="705" t="s">
        <v>206</v>
      </c>
      <c r="J37" s="706">
        <f>F37*'Gårdens info'!$D$28</f>
        <v>73</v>
      </c>
      <c r="K37" s="705" t="s">
        <v>554</v>
      </c>
      <c r="L37" s="705"/>
      <c r="M37" s="239"/>
      <c r="N37"/>
      <c r="O37"/>
      <c r="P37"/>
      <c r="Q37"/>
      <c r="R37"/>
      <c r="S37"/>
      <c r="T37"/>
      <c r="U37"/>
      <c r="AB37" s="382" t="s">
        <v>237</v>
      </c>
      <c r="AC37" s="728">
        <f>F79</f>
        <v>1156.4583558558556</v>
      </c>
      <c r="AD37" s="723"/>
      <c r="AE37" s="291" t="s">
        <v>339</v>
      </c>
      <c r="AF37" s="56"/>
      <c r="AG37" s="56"/>
      <c r="AH37" s="56"/>
      <c r="AI37" s="56"/>
      <c r="AJ37" s="56"/>
      <c r="AK37" s="56"/>
      <c r="AL37" s="56"/>
      <c r="AM37" s="56"/>
      <c r="AN37" s="826">
        <v>2</v>
      </c>
      <c r="AO37" s="826">
        <v>2</v>
      </c>
      <c r="AP37" s="56"/>
      <c r="AQ37" s="56"/>
      <c r="AR37" s="56"/>
      <c r="AS37" s="56"/>
      <c r="AT37" s="56"/>
      <c r="AU37" s="56"/>
      <c r="AV37" s="826">
        <v>2</v>
      </c>
      <c r="AW37" s="826">
        <v>2</v>
      </c>
      <c r="AX37" s="56"/>
      <c r="AY37" s="56"/>
      <c r="AZ37" s="56"/>
      <c r="BA37" s="56"/>
      <c r="BB37" s="56"/>
      <c r="BC37" s="56"/>
      <c r="BD37" s="866">
        <f t="shared" si="1"/>
        <v>8</v>
      </c>
      <c r="BE37" s="857"/>
    </row>
    <row r="38" spans="1:57" s="69" customFormat="1" ht="17.399999999999999" x14ac:dyDescent="0.3">
      <c r="A38" s="868"/>
      <c r="B38" s="703"/>
      <c r="C38" s="704" t="s">
        <v>224</v>
      </c>
      <c r="D38" s="705"/>
      <c r="E38" s="705"/>
      <c r="F38" s="706">
        <f>IF('Gårdens info'!D28&gt;0,J343/'Gårdens info'!I28,0)</f>
        <v>178.76</v>
      </c>
      <c r="G38" s="705" t="s">
        <v>57</v>
      </c>
      <c r="H38" s="707">
        <f>IF('Gårdens info'!$G$28&gt;0,F38/'Gårdens info'!$G$28,0)</f>
        <v>5.2576470588235294E-2</v>
      </c>
      <c r="I38" s="705" t="s">
        <v>206</v>
      </c>
      <c r="J38" s="706">
        <f>F38*'Gårdens info'!$D$28</f>
        <v>536.28</v>
      </c>
      <c r="K38" s="705" t="s">
        <v>554</v>
      </c>
      <c r="L38" s="705"/>
      <c r="M38" s="239"/>
      <c r="N38"/>
      <c r="O38"/>
      <c r="P38"/>
      <c r="S38"/>
      <c r="T38"/>
      <c r="U38"/>
      <c r="AB38" s="382" t="s">
        <v>141</v>
      </c>
      <c r="AC38" s="728">
        <f>F85</f>
        <v>12.765957446808509</v>
      </c>
      <c r="AD38" s="723"/>
      <c r="AE38" s="291" t="s">
        <v>569</v>
      </c>
      <c r="AF38" s="56"/>
      <c r="AG38" s="56"/>
      <c r="AH38" s="56"/>
      <c r="AI38" s="56"/>
      <c r="AJ38" s="56"/>
      <c r="AK38" s="56"/>
      <c r="AL38" s="56"/>
      <c r="AM38" s="56"/>
      <c r="AN38" s="56"/>
      <c r="AO38" s="56"/>
      <c r="AP38" s="826">
        <v>20</v>
      </c>
      <c r="AQ38" s="826">
        <v>20</v>
      </c>
      <c r="AR38" s="56"/>
      <c r="AS38" s="56"/>
      <c r="AT38" s="56"/>
      <c r="AU38" s="56"/>
      <c r="AV38" s="56"/>
      <c r="AW38" s="56"/>
      <c r="AX38" s="56"/>
      <c r="AY38" s="56"/>
      <c r="AZ38" s="56"/>
      <c r="BA38" s="56"/>
      <c r="BB38" s="56"/>
      <c r="BC38" s="56"/>
      <c r="BD38" s="866">
        <f t="shared" si="1"/>
        <v>40</v>
      </c>
      <c r="BE38" s="857"/>
    </row>
    <row r="39" spans="1:57" s="69" customFormat="1" ht="17.399999999999999" x14ac:dyDescent="0.3">
      <c r="A39" s="868"/>
      <c r="B39" s="703"/>
      <c r="C39" s="704" t="s">
        <v>570</v>
      </c>
      <c r="D39" s="705"/>
      <c r="E39" s="705"/>
      <c r="F39" s="706">
        <f>IF('Gårdens info'!D28&gt;0,L360/'Gårdens info'!I28,0)</f>
        <v>145</v>
      </c>
      <c r="G39" s="705" t="s">
        <v>57</v>
      </c>
      <c r="H39" s="707">
        <f>IF('Gårdens info'!$G$28&gt;0,F39/'Gårdens info'!$G$28,0)</f>
        <v>4.2647058823529413E-2</v>
      </c>
      <c r="I39" s="705" t="s">
        <v>206</v>
      </c>
      <c r="J39" s="706">
        <f>F39*'Gårdens info'!$D$28</f>
        <v>435</v>
      </c>
      <c r="K39" s="705" t="s">
        <v>554</v>
      </c>
      <c r="L39" s="705"/>
      <c r="M39" s="239"/>
      <c r="N39"/>
      <c r="O39"/>
      <c r="P39"/>
      <c r="S39"/>
      <c r="T39"/>
      <c r="U39"/>
      <c r="AB39" s="382" t="s">
        <v>192</v>
      </c>
      <c r="AC39" s="692">
        <f>F97</f>
        <v>2199.1666666666665</v>
      </c>
      <c r="AD39" s="723"/>
      <c r="AE39" s="291" t="s">
        <v>582</v>
      </c>
      <c r="AF39" s="56"/>
      <c r="AG39" s="56"/>
      <c r="AH39" s="56"/>
      <c r="AI39" s="56"/>
      <c r="AJ39" s="56"/>
      <c r="AK39" s="56"/>
      <c r="AL39" s="56"/>
      <c r="AM39" s="826">
        <v>4</v>
      </c>
      <c r="AN39" s="826"/>
      <c r="AO39" s="56"/>
      <c r="AP39" s="56"/>
      <c r="AQ39" s="56"/>
      <c r="AR39" s="56"/>
      <c r="AS39" s="56"/>
      <c r="AT39" s="56"/>
      <c r="AU39" s="56"/>
      <c r="AV39" s="56"/>
      <c r="AW39" s="56"/>
      <c r="AX39" s="56"/>
      <c r="AY39" s="56"/>
      <c r="AZ39" s="56"/>
      <c r="BA39" s="56"/>
      <c r="BB39" s="56"/>
      <c r="BC39" s="56"/>
      <c r="BD39" s="866">
        <f t="shared" si="1"/>
        <v>4</v>
      </c>
      <c r="BE39" s="857"/>
    </row>
    <row r="40" spans="1:57" s="5" customFormat="1" ht="17.399999999999999" x14ac:dyDescent="0.3">
      <c r="A40" s="879"/>
      <c r="B40" s="718"/>
      <c r="C40" s="719" t="s">
        <v>54</v>
      </c>
      <c r="D40" s="719"/>
      <c r="E40" s="719"/>
      <c r="F40" s="720">
        <f>SUM(F36:F39)</f>
        <v>358.59333333333331</v>
      </c>
      <c r="G40" s="709" t="s">
        <v>57</v>
      </c>
      <c r="H40" s="721">
        <f>SUM(H36:H39)</f>
        <v>0.10546862745098039</v>
      </c>
      <c r="I40" s="709" t="s">
        <v>206</v>
      </c>
      <c r="J40" s="710">
        <f>SUM(J36:J39)</f>
        <v>1075.78</v>
      </c>
      <c r="K40" s="709" t="s">
        <v>554</v>
      </c>
      <c r="L40" s="722"/>
      <c r="M40" s="259"/>
      <c r="N40" s="69"/>
      <c r="O40" s="69"/>
      <c r="P40" s="69"/>
      <c r="Q40" s="69"/>
      <c r="R40" s="69"/>
      <c r="S40" s="69"/>
      <c r="T40" s="69"/>
      <c r="U40" s="69"/>
      <c r="AB40" s="699"/>
      <c r="AC40" s="699"/>
      <c r="AD40" s="699"/>
      <c r="AE40" s="291" t="s">
        <v>335</v>
      </c>
      <c r="AF40" s="56"/>
      <c r="AG40" s="56"/>
      <c r="AH40" s="56"/>
      <c r="AI40" s="56"/>
      <c r="AJ40" s="56"/>
      <c r="AK40" s="56"/>
      <c r="AL40" s="56"/>
      <c r="AM40" s="56"/>
      <c r="AN40" s="56"/>
      <c r="AO40" s="826">
        <v>3</v>
      </c>
      <c r="AP40" s="826">
        <v>3</v>
      </c>
      <c r="AQ40" s="826">
        <v>3</v>
      </c>
      <c r="AR40" s="826"/>
      <c r="AS40" s="826">
        <v>3</v>
      </c>
      <c r="AT40" s="826"/>
      <c r="AU40" s="826">
        <v>3</v>
      </c>
      <c r="AV40" s="56"/>
      <c r="AW40" s="56"/>
      <c r="AX40" s="56"/>
      <c r="AY40" s="56"/>
      <c r="AZ40" s="56"/>
      <c r="BA40" s="56"/>
      <c r="BB40" s="56"/>
      <c r="BC40" s="56"/>
      <c r="BD40" s="866">
        <f t="shared" si="1"/>
        <v>15</v>
      </c>
      <c r="BE40" s="857"/>
    </row>
    <row r="41" spans="1:57" s="5" customFormat="1" ht="17.399999999999999" x14ac:dyDescent="0.3">
      <c r="A41" s="879"/>
      <c r="B41" s="286"/>
      <c r="C41" s="262"/>
      <c r="D41" s="262"/>
      <c r="E41" s="262"/>
      <c r="F41" s="263"/>
      <c r="G41" s="243"/>
      <c r="H41" s="264"/>
      <c r="I41" s="243"/>
      <c r="J41" s="258"/>
      <c r="K41" s="243"/>
      <c r="L41" s="265"/>
      <c r="M41" s="259"/>
      <c r="N41" s="69"/>
      <c r="O41" s="69"/>
      <c r="P41" s="69"/>
      <c r="Q41" s="69"/>
      <c r="R41" s="69"/>
      <c r="S41" s="69"/>
      <c r="T41" s="69"/>
      <c r="U41" s="69"/>
      <c r="AB41" s="699"/>
      <c r="AC41" s="699"/>
      <c r="AD41" s="699"/>
      <c r="AE41" s="291" t="s">
        <v>341</v>
      </c>
      <c r="AF41" s="826"/>
      <c r="AG41" s="826">
        <v>3</v>
      </c>
      <c r="AH41" s="826"/>
      <c r="AI41" s="826">
        <v>3</v>
      </c>
      <c r="AJ41" s="826"/>
      <c r="AK41" s="826">
        <v>3</v>
      </c>
      <c r="AL41" s="826"/>
      <c r="AM41" s="56"/>
      <c r="AN41" s="56"/>
      <c r="AO41" s="56"/>
      <c r="AP41" s="56"/>
      <c r="AQ41" s="56"/>
      <c r="AR41" s="56"/>
      <c r="AS41" s="56"/>
      <c r="AT41" s="56"/>
      <c r="AU41" s="56"/>
      <c r="AV41" s="56"/>
      <c r="AW41" s="56"/>
      <c r="AX41" s="56"/>
      <c r="AY41" s="56"/>
      <c r="AZ41" s="56"/>
      <c r="BA41" s="56"/>
      <c r="BB41" s="56"/>
      <c r="BC41" s="56"/>
      <c r="BD41" s="866">
        <f t="shared" si="1"/>
        <v>9</v>
      </c>
      <c r="BE41" s="857"/>
    </row>
    <row r="42" spans="1:57" s="5" customFormat="1" ht="17.399999999999999" x14ac:dyDescent="0.3">
      <c r="A42" s="879"/>
      <c r="B42" s="700" t="s">
        <v>583</v>
      </c>
      <c r="C42" s="245"/>
      <c r="D42" s="262"/>
      <c r="E42" s="262"/>
      <c r="F42" s="263"/>
      <c r="G42" s="243"/>
      <c r="H42" s="264"/>
      <c r="I42" s="243"/>
      <c r="J42" s="258"/>
      <c r="K42" s="243"/>
      <c r="L42" s="265"/>
      <c r="M42" s="259"/>
      <c r="N42" s="69"/>
      <c r="O42" s="69"/>
      <c r="P42" s="69"/>
      <c r="Q42" s="69"/>
      <c r="R42" s="69"/>
      <c r="S42" s="69"/>
      <c r="T42" s="69"/>
      <c r="U42" s="69"/>
      <c r="AB42" s="699"/>
      <c r="AC42" s="699"/>
      <c r="AD42" s="699"/>
      <c r="AE42" s="291" t="s">
        <v>38</v>
      </c>
      <c r="AF42" s="56"/>
      <c r="AG42" s="56"/>
      <c r="AH42" s="56"/>
      <c r="AI42" s="56"/>
      <c r="AJ42" s="56"/>
      <c r="AK42" s="56"/>
      <c r="AL42" s="56"/>
      <c r="AM42" s="56"/>
      <c r="AN42" s="56"/>
      <c r="AO42" s="56"/>
      <c r="AP42" s="56"/>
      <c r="AQ42" s="826">
        <v>10</v>
      </c>
      <c r="AR42" s="826">
        <v>10</v>
      </c>
      <c r="AS42" s="826">
        <v>5</v>
      </c>
      <c r="AT42" s="826">
        <v>5</v>
      </c>
      <c r="AU42" s="56"/>
      <c r="AV42" s="56"/>
      <c r="AW42" s="56"/>
      <c r="AX42" s="56"/>
      <c r="AY42" s="56"/>
      <c r="AZ42" s="56"/>
      <c r="BA42" s="56"/>
      <c r="BB42" s="56"/>
      <c r="BC42" s="56"/>
      <c r="BD42" s="866">
        <f t="shared" si="1"/>
        <v>30</v>
      </c>
      <c r="BE42" s="857"/>
    </row>
    <row r="43" spans="1:57" s="5" customFormat="1" ht="17.399999999999999" x14ac:dyDescent="0.3">
      <c r="A43" s="879"/>
      <c r="B43" s="235"/>
      <c r="C43" s="950" t="s">
        <v>566</v>
      </c>
      <c r="D43" s="262"/>
      <c r="E43" s="262"/>
      <c r="F43" s="276">
        <f>F16</f>
        <v>2083.3333333333335</v>
      </c>
      <c r="G43" s="119" t="s">
        <v>57</v>
      </c>
      <c r="H43" s="238">
        <f>IF('Gårdens info'!$G$28&gt;0,F43/'Gårdens info'!$G$28,0)</f>
        <v>0.61274509803921573</v>
      </c>
      <c r="I43" s="119" t="s">
        <v>206</v>
      </c>
      <c r="J43" s="237">
        <f>F43*'Gårdens info'!$D$28</f>
        <v>6250</v>
      </c>
      <c r="K43" s="119" t="s">
        <v>554</v>
      </c>
      <c r="L43" s="265"/>
      <c r="M43" s="259"/>
      <c r="N43" s="69"/>
      <c r="O43" s="69"/>
      <c r="P43" s="69"/>
      <c r="Q43" s="69"/>
      <c r="R43" s="69"/>
      <c r="S43" s="69"/>
      <c r="T43" s="69"/>
      <c r="U43" s="69"/>
      <c r="AB43" s="699"/>
      <c r="AC43" s="699"/>
      <c r="AD43" s="699"/>
      <c r="AE43" s="291" t="s">
        <v>342</v>
      </c>
      <c r="AF43" s="56"/>
      <c r="AG43" s="56"/>
      <c r="AH43" s="56"/>
      <c r="AI43" s="56"/>
      <c r="AJ43" s="56"/>
      <c r="AK43" s="56"/>
      <c r="AL43" s="56"/>
      <c r="AM43" s="56"/>
      <c r="AN43" s="56"/>
      <c r="AO43" s="56"/>
      <c r="AP43" s="56"/>
      <c r="AQ43" s="826">
        <v>2</v>
      </c>
      <c r="AR43" s="826">
        <v>3</v>
      </c>
      <c r="AS43" s="826">
        <v>3</v>
      </c>
      <c r="AT43" s="826">
        <v>2</v>
      </c>
      <c r="AU43" s="56"/>
      <c r="AV43" s="56"/>
      <c r="AW43" s="56"/>
      <c r="AX43" s="56"/>
      <c r="AY43" s="56"/>
      <c r="AZ43" s="56"/>
      <c r="BA43" s="56"/>
      <c r="BB43" s="56"/>
      <c r="BC43" s="56"/>
      <c r="BD43" s="866">
        <f t="shared" si="1"/>
        <v>10</v>
      </c>
      <c r="BE43" s="857"/>
    </row>
    <row r="44" spans="1:57" s="5" customFormat="1" ht="17.399999999999999" x14ac:dyDescent="0.3">
      <c r="A44" s="879"/>
      <c r="B44" s="235"/>
      <c r="C44" s="950" t="s">
        <v>219</v>
      </c>
      <c r="D44" s="262"/>
      <c r="E44" s="262"/>
      <c r="F44" s="276">
        <f>F17+F25</f>
        <v>600</v>
      </c>
      <c r="G44" s="119" t="s">
        <v>57</v>
      </c>
      <c r="H44" s="238">
        <f>IF('Gårdens info'!$G$28&gt;0,F44/'Gårdens info'!$G$28,0)</f>
        <v>0.17647058823529413</v>
      </c>
      <c r="I44" s="119" t="s">
        <v>206</v>
      </c>
      <c r="J44" s="237">
        <f>F44*'Gårdens info'!$D$28</f>
        <v>1800</v>
      </c>
      <c r="K44" s="119" t="s">
        <v>554</v>
      </c>
      <c r="L44" s="265"/>
      <c r="M44" s="259"/>
      <c r="N44" s="69"/>
      <c r="O44" s="69"/>
      <c r="P44" s="69"/>
      <c r="Q44" s="69"/>
      <c r="R44" s="69"/>
      <c r="S44" s="69"/>
      <c r="T44" s="69"/>
      <c r="U44" s="69"/>
      <c r="AB44" s="699"/>
      <c r="AC44" s="699"/>
      <c r="AD44" s="699"/>
      <c r="AE44" s="291" t="s">
        <v>584</v>
      </c>
      <c r="AF44" s="56"/>
      <c r="AG44" s="56"/>
      <c r="AH44" s="56"/>
      <c r="AI44" s="56"/>
      <c r="AJ44" s="56"/>
      <c r="AK44" s="56"/>
      <c r="AL44" s="56"/>
      <c r="AM44" s="56"/>
      <c r="AN44" s="56"/>
      <c r="AO44" s="56"/>
      <c r="AP44" s="56"/>
      <c r="AQ44" s="826">
        <v>2</v>
      </c>
      <c r="AR44" s="826">
        <v>2</v>
      </c>
      <c r="AS44" s="826">
        <v>2</v>
      </c>
      <c r="AT44" s="826">
        <v>2</v>
      </c>
      <c r="AU44" s="56"/>
      <c r="AV44" s="56"/>
      <c r="AW44" s="56"/>
      <c r="AX44" s="56"/>
      <c r="AY44" s="56"/>
      <c r="AZ44" s="56"/>
      <c r="BA44" s="56"/>
      <c r="BB44" s="56"/>
      <c r="BC44" s="56"/>
      <c r="BD44" s="866">
        <f t="shared" si="1"/>
        <v>8</v>
      </c>
      <c r="BE44" s="857"/>
    </row>
    <row r="45" spans="1:57" s="5" customFormat="1" ht="17.399999999999999" x14ac:dyDescent="0.3">
      <c r="A45" s="879"/>
      <c r="B45" s="235"/>
      <c r="C45" s="950" t="s">
        <v>220</v>
      </c>
      <c r="D45" s="262"/>
      <c r="E45" s="262"/>
      <c r="F45" s="276">
        <f>F18+F26+F36</f>
        <v>1245.8</v>
      </c>
      <c r="G45" s="119" t="s">
        <v>57</v>
      </c>
      <c r="H45" s="238">
        <f>IF('Gårdens info'!$G$28&gt;0,F45/'Gårdens info'!$G$28,0)</f>
        <v>0.36641176470588233</v>
      </c>
      <c r="I45" s="119" t="s">
        <v>206</v>
      </c>
      <c r="J45" s="237">
        <f>F45*'Gårdens info'!$D$28</f>
        <v>3737.3999999999996</v>
      </c>
      <c r="K45" s="119" t="s">
        <v>554</v>
      </c>
      <c r="L45" s="265"/>
      <c r="M45" s="259"/>
      <c r="N45" s="69"/>
      <c r="O45" s="69"/>
      <c r="P45" s="69"/>
      <c r="Q45" s="69"/>
      <c r="R45" s="69"/>
      <c r="S45" s="69"/>
      <c r="T45" s="69"/>
      <c r="U45" s="69"/>
      <c r="AB45" s="699"/>
      <c r="AC45" s="699"/>
      <c r="AD45" s="699"/>
      <c r="AE45" s="291" t="s">
        <v>343</v>
      </c>
      <c r="AF45" s="826">
        <v>6</v>
      </c>
      <c r="AG45" s="826">
        <v>6</v>
      </c>
      <c r="AH45" s="56"/>
      <c r="AI45" s="56"/>
      <c r="AJ45" s="56"/>
      <c r="AK45" s="56"/>
      <c r="AL45" s="56"/>
      <c r="AM45" s="56"/>
      <c r="AN45" s="56"/>
      <c r="AO45" s="56"/>
      <c r="AP45" s="56"/>
      <c r="AQ45" s="56"/>
      <c r="AR45" s="56"/>
      <c r="AS45" s="56"/>
      <c r="AT45" s="56"/>
      <c r="AU45" s="56"/>
      <c r="AV45" s="56"/>
      <c r="AW45" s="56"/>
      <c r="AX45" s="56"/>
      <c r="AY45" s="56"/>
      <c r="AZ45" s="56"/>
      <c r="BA45" s="56"/>
      <c r="BB45" s="56"/>
      <c r="BC45" s="56"/>
      <c r="BD45" s="866">
        <f t="shared" si="1"/>
        <v>12</v>
      </c>
      <c r="BE45" s="857"/>
    </row>
    <row r="46" spans="1:57" s="5" customFormat="1" ht="17.399999999999999" x14ac:dyDescent="0.3">
      <c r="A46" s="879"/>
      <c r="B46" s="235"/>
      <c r="C46" s="950" t="s">
        <v>574</v>
      </c>
      <c r="D46" s="262"/>
      <c r="E46" s="262"/>
      <c r="F46" s="276">
        <f>F27</f>
        <v>800</v>
      </c>
      <c r="G46" s="119" t="s">
        <v>57</v>
      </c>
      <c r="H46" s="238">
        <f>IF('Gårdens info'!$G$28&gt;0,F46/'Gårdens info'!$G$28,0)</f>
        <v>0.23529411764705882</v>
      </c>
      <c r="I46" s="119" t="s">
        <v>206</v>
      </c>
      <c r="J46" s="237">
        <f>F46*'Gårdens info'!$D$28</f>
        <v>2400</v>
      </c>
      <c r="K46" s="119" t="s">
        <v>554</v>
      </c>
      <c r="L46" s="265"/>
      <c r="M46" s="259"/>
      <c r="N46" s="69"/>
      <c r="O46" s="69"/>
      <c r="P46" s="69"/>
      <c r="Q46" s="69"/>
      <c r="R46" s="69"/>
      <c r="S46" s="69"/>
      <c r="T46" s="69"/>
      <c r="U46" s="69"/>
      <c r="AB46" s="699"/>
      <c r="AC46" s="699"/>
      <c r="AD46" s="699"/>
      <c r="AE46" s="291" t="s">
        <v>344</v>
      </c>
      <c r="AF46" s="56"/>
      <c r="AG46" s="56"/>
      <c r="AH46" s="826">
        <v>6</v>
      </c>
      <c r="AI46" s="826"/>
      <c r="AJ46" s="56"/>
      <c r="AK46" s="56"/>
      <c r="AL46" s="56"/>
      <c r="AM46" s="56"/>
      <c r="AN46" s="56"/>
      <c r="AO46" s="56"/>
      <c r="AP46" s="56"/>
      <c r="AQ46" s="56"/>
      <c r="AR46" s="56"/>
      <c r="AS46" s="56"/>
      <c r="AT46" s="56"/>
      <c r="AU46" s="56"/>
      <c r="AV46" s="56"/>
      <c r="AW46" s="56"/>
      <c r="AX46" s="56"/>
      <c r="AY46" s="56"/>
      <c r="AZ46" s="56"/>
      <c r="BA46" s="56"/>
      <c r="BB46" s="56"/>
      <c r="BC46" s="56"/>
      <c r="BD46" s="866">
        <f t="shared" si="1"/>
        <v>6</v>
      </c>
      <c r="BE46" s="857"/>
    </row>
    <row r="47" spans="1:57" s="5" customFormat="1" ht="17.399999999999999" x14ac:dyDescent="0.3">
      <c r="A47" s="879"/>
      <c r="B47" s="235"/>
      <c r="C47" s="950" t="s">
        <v>575</v>
      </c>
      <c r="D47" s="262"/>
      <c r="E47" s="262"/>
      <c r="F47" s="276">
        <f>F28</f>
        <v>513.4</v>
      </c>
      <c r="G47" s="119" t="s">
        <v>57</v>
      </c>
      <c r="H47" s="238">
        <f>IF('Gårdens info'!$G$28&gt;0,F47/'Gårdens info'!$G$28,0)</f>
        <v>0.151</v>
      </c>
      <c r="I47" s="119" t="s">
        <v>206</v>
      </c>
      <c r="J47" s="237">
        <f>F47*'Gårdens info'!$D$28</f>
        <v>1540.1999999999998</v>
      </c>
      <c r="K47" s="119" t="s">
        <v>554</v>
      </c>
      <c r="L47" s="265"/>
      <c r="M47" s="259"/>
      <c r="N47" s="69"/>
      <c r="O47" s="69"/>
      <c r="P47" s="69"/>
      <c r="Q47" s="69"/>
      <c r="R47" s="69"/>
      <c r="S47" s="69"/>
      <c r="T47" s="69"/>
      <c r="U47" s="69"/>
      <c r="AB47" s="699"/>
      <c r="AC47" s="699"/>
      <c r="AD47" s="699"/>
      <c r="AE47" s="291" t="s">
        <v>345</v>
      </c>
      <c r="AF47" s="826">
        <v>2</v>
      </c>
      <c r="AG47" s="826"/>
      <c r="AH47" s="56"/>
      <c r="AI47" s="56"/>
      <c r="AJ47" s="56"/>
      <c r="AK47" s="56"/>
      <c r="AL47" s="56"/>
      <c r="AM47" s="56"/>
      <c r="AN47" s="56"/>
      <c r="AO47" s="56"/>
      <c r="AP47" s="56"/>
      <c r="AQ47" s="56"/>
      <c r="AR47" s="56"/>
      <c r="AS47" s="56"/>
      <c r="AT47" s="56"/>
      <c r="AU47" s="56"/>
      <c r="AV47" s="56"/>
      <c r="AW47" s="56"/>
      <c r="AX47" s="56"/>
      <c r="AY47" s="56"/>
      <c r="AZ47" s="56"/>
      <c r="BA47" s="56"/>
      <c r="BB47" s="56"/>
      <c r="BC47" s="56"/>
      <c r="BD47" s="866">
        <f t="shared" si="1"/>
        <v>2</v>
      </c>
      <c r="BE47" s="857"/>
    </row>
    <row r="48" spans="1:57" s="5" customFormat="1" ht="17.399999999999999" x14ac:dyDescent="0.3">
      <c r="A48" s="879"/>
      <c r="B48" s="235"/>
      <c r="C48" s="950" t="s">
        <v>576</v>
      </c>
      <c r="D48" s="262"/>
      <c r="E48" s="262"/>
      <c r="F48" s="276">
        <f>F29</f>
        <v>1530</v>
      </c>
      <c r="G48" s="119" t="s">
        <v>57</v>
      </c>
      <c r="H48" s="238">
        <f>IF('Gårdens info'!$G$28&gt;0,F48/'Gårdens info'!$G$28,0)</f>
        <v>0.45</v>
      </c>
      <c r="I48" s="119" t="s">
        <v>206</v>
      </c>
      <c r="J48" s="237">
        <f>F48*'Gårdens info'!$D$28</f>
        <v>4590</v>
      </c>
      <c r="K48" s="119" t="s">
        <v>554</v>
      </c>
      <c r="L48" s="265"/>
      <c r="M48" s="259"/>
      <c r="N48" s="69"/>
      <c r="O48" s="69"/>
      <c r="P48" s="69"/>
      <c r="Q48" s="69"/>
      <c r="R48" s="69"/>
      <c r="S48" s="69"/>
      <c r="T48" s="69"/>
      <c r="U48" s="69"/>
      <c r="AB48" s="699"/>
      <c r="AC48" s="699"/>
      <c r="AD48" s="699"/>
      <c r="AE48" s="291" t="s">
        <v>346</v>
      </c>
      <c r="AF48" s="826">
        <v>4</v>
      </c>
      <c r="AG48" s="826"/>
      <c r="AH48" s="56"/>
      <c r="AI48" s="56"/>
      <c r="AJ48" s="56"/>
      <c r="AK48" s="56"/>
      <c r="AL48" s="56"/>
      <c r="AM48" s="56"/>
      <c r="AN48" s="56"/>
      <c r="AO48" s="56"/>
      <c r="AP48" s="56"/>
      <c r="AQ48" s="56"/>
      <c r="AR48" s="56"/>
      <c r="AS48" s="56"/>
      <c r="AT48" s="56"/>
      <c r="AU48" s="56"/>
      <c r="AV48" s="56"/>
      <c r="AW48" s="56"/>
      <c r="AX48" s="56"/>
      <c r="AY48" s="56"/>
      <c r="AZ48" s="56"/>
      <c r="BA48" s="56"/>
      <c r="BB48" s="56"/>
      <c r="BC48" s="56"/>
      <c r="BD48" s="866">
        <f t="shared" si="1"/>
        <v>4</v>
      </c>
      <c r="BE48" s="857"/>
    </row>
    <row r="49" spans="1:57" s="5" customFormat="1" ht="17.399999999999999" x14ac:dyDescent="0.3">
      <c r="A49" s="879"/>
      <c r="B49" s="235"/>
      <c r="C49" s="950" t="s">
        <v>568</v>
      </c>
      <c r="D49" s="262"/>
      <c r="E49" s="262"/>
      <c r="F49" s="276">
        <f>F19+F30+F37</f>
        <v>48.666666666666664</v>
      </c>
      <c r="G49" s="119" t="s">
        <v>57</v>
      </c>
      <c r="H49" s="238">
        <f>IF('Gårdens info'!$G$28&gt;0,F49/'Gårdens info'!$G$28,0)</f>
        <v>1.4313725490196078E-2</v>
      </c>
      <c r="I49" s="119" t="s">
        <v>206</v>
      </c>
      <c r="J49" s="237">
        <f>F49*'Gårdens info'!$D$28</f>
        <v>146</v>
      </c>
      <c r="K49" s="119" t="s">
        <v>554</v>
      </c>
      <c r="L49" s="265"/>
      <c r="M49" s="259"/>
      <c r="N49" s="69"/>
      <c r="O49" s="69"/>
      <c r="P49" s="69"/>
      <c r="Q49" s="69"/>
      <c r="R49" s="69"/>
      <c r="S49" s="69"/>
      <c r="T49" s="69"/>
      <c r="U49" s="69"/>
      <c r="AB49" s="699"/>
      <c r="AC49" s="699"/>
      <c r="AD49" s="699"/>
      <c r="AE49" s="291" t="s">
        <v>348</v>
      </c>
      <c r="AF49" s="826">
        <v>1</v>
      </c>
      <c r="AG49" s="826"/>
      <c r="AH49" s="826">
        <v>1</v>
      </c>
      <c r="AI49" s="826"/>
      <c r="AJ49" s="826">
        <v>1</v>
      </c>
      <c r="AK49" s="826"/>
      <c r="AL49" s="826">
        <v>1</v>
      </c>
      <c r="AM49" s="826"/>
      <c r="AN49" s="826">
        <v>1</v>
      </c>
      <c r="AO49" s="826"/>
      <c r="AP49" s="826">
        <v>1</v>
      </c>
      <c r="AQ49" s="826"/>
      <c r="AR49" s="826">
        <v>1</v>
      </c>
      <c r="AS49" s="56"/>
      <c r="AT49" s="56"/>
      <c r="AU49" s="56"/>
      <c r="AV49" s="56"/>
      <c r="AW49" s="56"/>
      <c r="AX49" s="56"/>
      <c r="AY49" s="56"/>
      <c r="AZ49" s="56"/>
      <c r="BA49" s="56"/>
      <c r="BB49" s="56"/>
      <c r="BC49" s="56"/>
      <c r="BD49" s="866">
        <f t="shared" si="1"/>
        <v>7</v>
      </c>
      <c r="BE49" s="857"/>
    </row>
    <row r="50" spans="1:57" s="5" customFormat="1" ht="17.399999999999999" x14ac:dyDescent="0.3">
      <c r="A50" s="879"/>
      <c r="B50" s="235"/>
      <c r="C50" s="950" t="s">
        <v>224</v>
      </c>
      <c r="D50" s="262"/>
      <c r="E50" s="262"/>
      <c r="F50" s="276">
        <f>F20+F31+F38</f>
        <v>1729.4613333333332</v>
      </c>
      <c r="G50" s="119" t="s">
        <v>57</v>
      </c>
      <c r="H50" s="238">
        <f>IF('Gårdens info'!$G$28&gt;0,F50/'Gårdens info'!$G$28,0)</f>
        <v>0.50866509803921567</v>
      </c>
      <c r="I50" s="119" t="s">
        <v>206</v>
      </c>
      <c r="J50" s="237">
        <f>F50*'Gårdens info'!$D$28</f>
        <v>5188.384</v>
      </c>
      <c r="K50" s="119" t="s">
        <v>554</v>
      </c>
      <c r="L50" s="265"/>
      <c r="M50" s="259"/>
      <c r="N50" s="69"/>
      <c r="O50" s="69"/>
      <c r="P50" s="69"/>
      <c r="Q50" s="69"/>
      <c r="R50" s="69"/>
      <c r="S50" s="69"/>
      <c r="T50" s="69"/>
      <c r="U50" s="69"/>
      <c r="AB50" s="699"/>
      <c r="AC50" s="699"/>
      <c r="AD50" s="699"/>
      <c r="AE50" s="291" t="s">
        <v>350</v>
      </c>
      <c r="AF50" s="56"/>
      <c r="AG50" s="56"/>
      <c r="AH50" s="56"/>
      <c r="AI50" s="56"/>
      <c r="AJ50" s="56"/>
      <c r="AK50" s="826"/>
      <c r="AL50" s="826">
        <v>4</v>
      </c>
      <c r="AM50" s="826"/>
      <c r="AN50" s="826">
        <v>4</v>
      </c>
      <c r="AO50" s="826"/>
      <c r="AP50" s="826">
        <v>6</v>
      </c>
      <c r="AQ50" s="826"/>
      <c r="AR50" s="826">
        <v>6</v>
      </c>
      <c r="AS50" s="826"/>
      <c r="AT50" s="826">
        <v>4</v>
      </c>
      <c r="AU50" s="826"/>
      <c r="AV50" s="56"/>
      <c r="AW50" s="56"/>
      <c r="AX50" s="56"/>
      <c r="AY50" s="56"/>
      <c r="AZ50" s="56"/>
      <c r="BA50" s="56"/>
      <c r="BB50" s="56"/>
      <c r="BC50" s="56"/>
      <c r="BD50" s="866">
        <f>SUM(AF50:BB50)</f>
        <v>24</v>
      </c>
      <c r="BE50" s="857"/>
    </row>
    <row r="51" spans="1:57" s="5" customFormat="1" ht="17.399999999999999" x14ac:dyDescent="0.3">
      <c r="A51" s="879"/>
      <c r="B51" s="235"/>
      <c r="C51" s="950" t="s">
        <v>570</v>
      </c>
      <c r="D51" s="262"/>
      <c r="E51" s="262"/>
      <c r="F51" s="276">
        <f>F21+F32+F39</f>
        <v>5838.333333333333</v>
      </c>
      <c r="G51" s="119" t="s">
        <v>57</v>
      </c>
      <c r="H51" s="238">
        <f>IF('Gårdens info'!$G$28&gt;0,F51/'Gårdens info'!$G$28,0)</f>
        <v>1.7171568627450979</v>
      </c>
      <c r="I51" s="119" t="s">
        <v>206</v>
      </c>
      <c r="J51" s="237">
        <f>F51*'Gårdens info'!$D$28</f>
        <v>17515</v>
      </c>
      <c r="K51" s="119" t="s">
        <v>554</v>
      </c>
      <c r="L51" s="265"/>
      <c r="M51" s="259"/>
      <c r="N51" s="69"/>
      <c r="O51" s="69"/>
      <c r="P51" s="69"/>
      <c r="Q51" s="69"/>
      <c r="R51" s="69"/>
      <c r="S51" s="69"/>
      <c r="T51" s="69"/>
      <c r="U51" s="69"/>
      <c r="AB51" s="699"/>
      <c r="AC51" s="699"/>
      <c r="AD51" s="699"/>
      <c r="AE51" s="291" t="s">
        <v>351</v>
      </c>
      <c r="AF51" s="826"/>
      <c r="AG51" s="826"/>
      <c r="AH51" s="826">
        <v>1</v>
      </c>
      <c r="AI51" s="826"/>
      <c r="AJ51" s="826">
        <v>1</v>
      </c>
      <c r="AK51" s="826"/>
      <c r="AL51" s="826">
        <v>1</v>
      </c>
      <c r="AM51" s="826"/>
      <c r="AN51" s="826">
        <v>1</v>
      </c>
      <c r="AO51" s="826"/>
      <c r="AP51" s="826">
        <v>1</v>
      </c>
      <c r="AQ51" s="826"/>
      <c r="AR51" s="826">
        <v>1</v>
      </c>
      <c r="AS51" s="826"/>
      <c r="AT51" s="826">
        <v>1</v>
      </c>
      <c r="AU51" s="826"/>
      <c r="AV51" s="826">
        <v>1</v>
      </c>
      <c r="AW51" s="826"/>
      <c r="AX51" s="826">
        <v>1</v>
      </c>
      <c r="AY51" s="826"/>
      <c r="AZ51" s="826">
        <v>1</v>
      </c>
      <c r="BA51" s="826"/>
      <c r="BB51" s="56"/>
      <c r="BC51" s="56"/>
      <c r="BD51" s="866">
        <f>SUM(AF51:BB51)</f>
        <v>10</v>
      </c>
      <c r="BE51" s="857"/>
    </row>
    <row r="52" spans="1:57" s="5" customFormat="1" ht="17.399999999999999" x14ac:dyDescent="0.3">
      <c r="A52" s="879"/>
      <c r="B52" s="251"/>
      <c r="C52" s="240" t="s">
        <v>54</v>
      </c>
      <c r="D52" s="262"/>
      <c r="E52" s="262"/>
      <c r="F52" s="263">
        <f>SUM(F43:F51)</f>
        <v>14388.994666666666</v>
      </c>
      <c r="G52" s="230" t="s">
        <v>57</v>
      </c>
      <c r="H52" s="264">
        <f>SUM(H43:H51)</f>
        <v>4.2320572549019602</v>
      </c>
      <c r="I52" s="230" t="s">
        <v>206</v>
      </c>
      <c r="J52" s="258">
        <f>SUM(J43:J51)</f>
        <v>43166.983999999997</v>
      </c>
      <c r="K52" s="230" t="s">
        <v>554</v>
      </c>
      <c r="L52" s="265"/>
      <c r="M52" s="259"/>
      <c r="N52" s="69"/>
      <c r="O52" s="69"/>
      <c r="P52" s="69"/>
      <c r="Q52" s="69"/>
      <c r="R52" s="69"/>
      <c r="S52" s="69"/>
      <c r="T52" s="69"/>
      <c r="U52" s="69"/>
      <c r="AB52" s="699"/>
      <c r="AC52" s="699"/>
      <c r="AD52" s="699"/>
      <c r="AE52" s="291" t="s">
        <v>352</v>
      </c>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866">
        <f t="shared" ref="BD52:BD54" si="7">SUM(AF52:BB52)</f>
        <v>0</v>
      </c>
      <c r="BE52" s="857"/>
    </row>
    <row r="53" spans="1:57" s="5" customFormat="1" ht="17.399999999999999" x14ac:dyDescent="0.3">
      <c r="A53" s="879"/>
      <c r="B53" s="286"/>
      <c r="C53" s="262"/>
      <c r="D53" s="262"/>
      <c r="E53" s="262"/>
      <c r="F53" s="263"/>
      <c r="G53" s="243"/>
      <c r="H53" s="264"/>
      <c r="I53" s="243"/>
      <c r="J53" s="258"/>
      <c r="K53" s="243"/>
      <c r="L53" s="265"/>
      <c r="M53" s="259"/>
      <c r="N53" s="69"/>
      <c r="O53" s="69"/>
      <c r="P53" s="69"/>
      <c r="Q53" s="69"/>
      <c r="R53" s="69"/>
      <c r="S53" s="69"/>
      <c r="T53" s="69"/>
      <c r="U53" s="69"/>
      <c r="AB53" s="699"/>
      <c r="AC53" s="699"/>
      <c r="AD53" s="699"/>
      <c r="AE53" s="291" t="s">
        <v>352</v>
      </c>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866">
        <f t="shared" si="7"/>
        <v>0</v>
      </c>
      <c r="BE53" s="857"/>
    </row>
    <row r="54" spans="1:57" s="5" customFormat="1" ht="17.399999999999999" x14ac:dyDescent="0.3">
      <c r="A54" s="879"/>
      <c r="B54" s="286"/>
      <c r="C54" s="262"/>
      <c r="D54" s="262"/>
      <c r="E54" s="262"/>
      <c r="F54" s="263"/>
      <c r="G54" s="243"/>
      <c r="H54" s="264"/>
      <c r="I54" s="243"/>
      <c r="J54" s="258"/>
      <c r="K54" s="243"/>
      <c r="L54" s="265"/>
      <c r="M54" s="259"/>
      <c r="N54" s="69"/>
      <c r="O54" s="69"/>
      <c r="P54" s="69"/>
      <c r="Q54" s="69"/>
      <c r="R54" s="69"/>
      <c r="S54" s="69"/>
      <c r="T54" s="69"/>
      <c r="U54" s="69"/>
      <c r="AB54" s="699"/>
      <c r="AC54" s="699"/>
      <c r="AD54" s="699"/>
      <c r="AE54" s="291" t="s">
        <v>352</v>
      </c>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866">
        <f t="shared" si="7"/>
        <v>0</v>
      </c>
      <c r="BE54" s="857"/>
    </row>
    <row r="55" spans="1:57" s="5" customFormat="1" ht="17.399999999999999" x14ac:dyDescent="0.3">
      <c r="A55" s="879"/>
      <c r="B55" s="1089" t="s">
        <v>585</v>
      </c>
      <c r="C55" s="1090"/>
      <c r="D55" s="1090"/>
      <c r="E55" s="1090"/>
      <c r="F55" s="263">
        <f>IF('Gårdens info'!D28&gt;0,J55/'Gårdens info'!D28,0)</f>
        <v>238.29787234042553</v>
      </c>
      <c r="G55" s="243" t="s">
        <v>57</v>
      </c>
      <c r="H55" s="264">
        <f>IF('Gårdens info'!G28&gt;0,F55/'Gårdens info'!G28,0)</f>
        <v>7.0087609511889859E-2</v>
      </c>
      <c r="I55" s="243" t="s">
        <v>206</v>
      </c>
      <c r="J55" s="258">
        <f>'Gårdens info'!G163/'Gårdens info'!D43*'Gårdens info'!D28</f>
        <v>714.89361702127655</v>
      </c>
      <c r="K55" s="243" t="s">
        <v>554</v>
      </c>
      <c r="L55" s="265"/>
      <c r="M55" s="259"/>
      <c r="N55" s="69"/>
      <c r="O55" s="69"/>
      <c r="P55" s="69"/>
      <c r="Q55" s="69"/>
      <c r="R55" s="69"/>
      <c r="S55" s="69"/>
      <c r="T55" s="69"/>
      <c r="U55" s="69"/>
      <c r="AB55" s="699"/>
      <c r="AC55" s="699"/>
      <c r="AD55" s="699"/>
      <c r="AE55" s="861" t="s">
        <v>354</v>
      </c>
      <c r="AF55" s="867">
        <f>SUM(AF9:AF54)</f>
        <v>13</v>
      </c>
      <c r="AG55" s="867">
        <f t="shared" ref="AG55:BC55" si="8">SUM(AG9:AG54)</f>
        <v>9</v>
      </c>
      <c r="AH55" s="867">
        <f t="shared" si="8"/>
        <v>8</v>
      </c>
      <c r="AI55" s="867">
        <f t="shared" si="8"/>
        <v>3</v>
      </c>
      <c r="AJ55" s="867">
        <f t="shared" si="8"/>
        <v>2</v>
      </c>
      <c r="AK55" s="867">
        <f t="shared" si="8"/>
        <v>3</v>
      </c>
      <c r="AL55" s="867">
        <f t="shared" si="8"/>
        <v>6</v>
      </c>
      <c r="AM55" s="867">
        <f t="shared" si="8"/>
        <v>16</v>
      </c>
      <c r="AN55" s="867">
        <f t="shared" si="8"/>
        <v>30</v>
      </c>
      <c r="AO55" s="867">
        <f t="shared" si="8"/>
        <v>68</v>
      </c>
      <c r="AP55" s="867">
        <f t="shared" si="8"/>
        <v>81</v>
      </c>
      <c r="AQ55" s="867">
        <f t="shared" si="8"/>
        <v>57</v>
      </c>
      <c r="AR55" s="867">
        <f t="shared" si="8"/>
        <v>36</v>
      </c>
      <c r="AS55" s="867">
        <f t="shared" si="8"/>
        <v>84</v>
      </c>
      <c r="AT55" s="867">
        <f t="shared" si="8"/>
        <v>124</v>
      </c>
      <c r="AU55" s="867">
        <f t="shared" si="8"/>
        <v>51</v>
      </c>
      <c r="AV55" s="867">
        <f t="shared" si="8"/>
        <v>5</v>
      </c>
      <c r="AW55" s="867">
        <f t="shared" si="8"/>
        <v>6</v>
      </c>
      <c r="AX55" s="867">
        <f t="shared" si="8"/>
        <v>1</v>
      </c>
      <c r="AY55" s="867">
        <f t="shared" si="8"/>
        <v>4</v>
      </c>
      <c r="AZ55" s="867">
        <f t="shared" si="8"/>
        <v>7</v>
      </c>
      <c r="BA55" s="867">
        <f t="shared" si="8"/>
        <v>0</v>
      </c>
      <c r="BB55" s="867">
        <f t="shared" si="8"/>
        <v>2</v>
      </c>
      <c r="BC55" s="867">
        <f t="shared" si="8"/>
        <v>0</v>
      </c>
      <c r="BD55" s="867">
        <f>SUM(BD30:BD54)</f>
        <v>254</v>
      </c>
      <c r="BE55" s="863" t="s">
        <v>327</v>
      </c>
    </row>
    <row r="56" spans="1:57" s="5" customFormat="1" ht="17.399999999999999" x14ac:dyDescent="0.3">
      <c r="A56" s="879"/>
      <c r="B56" s="1091" t="s">
        <v>586</v>
      </c>
      <c r="C56" s="1092"/>
      <c r="D56" s="1092"/>
      <c r="E56" s="1092"/>
      <c r="F56" s="263">
        <f>IF('Gårdens info'!D28&gt;0,J56/'Gårdens info'!D28,0)</f>
        <v>187.23404255319147</v>
      </c>
      <c r="G56" s="243" t="s">
        <v>57</v>
      </c>
      <c r="H56" s="264">
        <f>IF('Gårdens info'!G28&gt;0,F56/'Gårdens info'!G29,0)</f>
        <v>2.3404255319148935E-2</v>
      </c>
      <c r="I56" s="243" t="s">
        <v>206</v>
      </c>
      <c r="J56" s="258">
        <f>'Gårdens info'!$D$48/'Gårdens info'!$D$49*'Gårdens info'!$G$48*'Gårdens info'!D28</f>
        <v>561.70212765957444</v>
      </c>
      <c r="K56" s="243" t="s">
        <v>554</v>
      </c>
      <c r="L56" s="265"/>
      <c r="M56" s="259"/>
      <c r="AB56" s="699"/>
      <c r="AC56" s="699"/>
      <c r="AD56" s="699"/>
      <c r="AE56" s="861"/>
      <c r="AF56" s="867"/>
      <c r="AG56" s="867"/>
      <c r="AH56" s="867"/>
      <c r="AI56" s="867"/>
      <c r="AJ56" s="867"/>
      <c r="AK56" s="867"/>
      <c r="AL56" s="867"/>
      <c r="AM56" s="867"/>
      <c r="AN56" s="867"/>
      <c r="AO56" s="867"/>
      <c r="AP56" s="867"/>
      <c r="AQ56" s="867"/>
      <c r="AR56" s="867"/>
      <c r="AS56" s="867"/>
      <c r="AT56" s="867"/>
      <c r="AU56" s="867"/>
      <c r="AV56" s="867"/>
      <c r="AW56" s="867"/>
      <c r="AX56" s="867"/>
      <c r="AY56" s="867"/>
      <c r="AZ56" s="867"/>
      <c r="BA56" s="867"/>
      <c r="BB56" s="867"/>
      <c r="BC56" s="867"/>
      <c r="BD56" s="867"/>
      <c r="BE56" s="863"/>
    </row>
    <row r="57" spans="1:57" s="5" customFormat="1" ht="21" x14ac:dyDescent="0.4">
      <c r="A57" s="879"/>
      <c r="B57" s="1061" t="s">
        <v>189</v>
      </c>
      <c r="C57" s="1043"/>
      <c r="D57" s="1043"/>
      <c r="E57" s="262"/>
      <c r="F57" s="266">
        <f>F22+F33+F40+F55+F56</f>
        <v>14814.526581560285</v>
      </c>
      <c r="G57" s="267" t="s">
        <v>57</v>
      </c>
      <c r="H57" s="268">
        <f>H22+H33+H40+H55+H56</f>
        <v>4.3255491197329992</v>
      </c>
      <c r="I57" s="267" t="s">
        <v>206</v>
      </c>
      <c r="J57" s="269">
        <f>J22+J33+J40+J55+J56</f>
        <v>44443.57974468085</v>
      </c>
      <c r="K57" s="267" t="s">
        <v>554</v>
      </c>
      <c r="L57" s="267"/>
      <c r="M57" s="259"/>
      <c r="AE57" s="861"/>
      <c r="AF57" s="867"/>
      <c r="AG57" s="867"/>
      <c r="AH57" s="867"/>
      <c r="AI57" s="867"/>
      <c r="AJ57" s="867"/>
      <c r="AK57" s="867"/>
      <c r="AL57" s="867"/>
      <c r="AM57" s="867"/>
      <c r="AN57" s="867"/>
      <c r="AO57" s="867"/>
      <c r="AP57" s="867"/>
      <c r="AQ57" s="867"/>
      <c r="AR57" s="867"/>
      <c r="AS57" s="867"/>
      <c r="AT57" s="867"/>
      <c r="AU57" s="867"/>
      <c r="AV57" s="867"/>
      <c r="AW57" s="867"/>
      <c r="AX57" s="867"/>
      <c r="AY57" s="867"/>
      <c r="AZ57" s="867"/>
      <c r="BA57" s="867"/>
      <c r="BB57" s="867"/>
      <c r="BC57" s="867"/>
      <c r="BD57" s="867"/>
      <c r="BE57" s="863"/>
    </row>
    <row r="58" spans="1:57" s="5" customFormat="1" ht="25.2" customHeight="1" x14ac:dyDescent="0.4">
      <c r="A58" s="879"/>
      <c r="B58" s="288"/>
      <c r="C58" s="270"/>
      <c r="D58" s="270"/>
      <c r="E58" s="262"/>
      <c r="F58" s="266"/>
      <c r="G58" s="267"/>
      <c r="H58" s="268"/>
      <c r="I58" s="267"/>
      <c r="J58" s="269"/>
      <c r="K58" s="267"/>
      <c r="L58" s="267"/>
      <c r="M58" s="259"/>
      <c r="AE58" s="870" t="s">
        <v>587</v>
      </c>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871"/>
    </row>
    <row r="59" spans="1:57" ht="21" x14ac:dyDescent="0.4">
      <c r="B59" s="257" t="s">
        <v>588</v>
      </c>
      <c r="C59" s="225"/>
      <c r="D59" s="116"/>
      <c r="E59" s="116"/>
      <c r="F59" s="116"/>
      <c r="G59" s="116"/>
      <c r="H59" s="116"/>
      <c r="I59" s="116"/>
      <c r="J59" s="232"/>
      <c r="K59" s="116"/>
      <c r="L59" s="116"/>
      <c r="M59" s="226"/>
      <c r="N59" s="5"/>
      <c r="O59" s="5"/>
      <c r="P59" s="5"/>
      <c r="Q59" s="5"/>
      <c r="R59" s="5"/>
      <c r="S59" s="5"/>
      <c r="T59" s="5"/>
      <c r="U59" s="5"/>
      <c r="AE59" s="872" t="s">
        <v>589</v>
      </c>
      <c r="AF59" s="69"/>
      <c r="AG59" s="69"/>
      <c r="AH59" s="69"/>
      <c r="AI59" s="69"/>
      <c r="AJ59" s="69"/>
      <c r="AK59" s="69"/>
      <c r="AL59" s="69"/>
      <c r="AM59" s="69"/>
      <c r="AN59" s="69"/>
      <c r="AO59" s="69"/>
      <c r="AP59" s="69"/>
      <c r="AQ59" s="69"/>
      <c r="AR59" s="69"/>
      <c r="AS59" s="69"/>
      <c r="AT59" s="69"/>
      <c r="AU59" s="69"/>
      <c r="AV59" s="826">
        <v>10</v>
      </c>
      <c r="AW59" s="56"/>
      <c r="AX59" s="69"/>
      <c r="AY59" s="69"/>
      <c r="AZ59" s="69"/>
      <c r="BA59" s="69"/>
      <c r="BB59" s="69"/>
      <c r="BC59" s="69"/>
      <c r="BD59" s="866">
        <f>SUM(AF59:BC59)</f>
        <v>10</v>
      </c>
      <c r="BE59" s="857" t="s">
        <v>327</v>
      </c>
    </row>
    <row r="60" spans="1:57" s="5" customFormat="1" ht="21" x14ac:dyDescent="0.4">
      <c r="A60" s="879"/>
      <c r="B60" s="1081" t="s">
        <v>69</v>
      </c>
      <c r="C60" s="1082"/>
      <c r="D60" s="270"/>
      <c r="E60" s="262"/>
      <c r="F60" s="266"/>
      <c r="G60" s="267"/>
      <c r="H60" s="268"/>
      <c r="I60" s="267"/>
      <c r="J60" s="269"/>
      <c r="K60" s="267"/>
      <c r="L60" s="267"/>
      <c r="M60" s="259"/>
      <c r="AE60" s="872" t="s">
        <v>590</v>
      </c>
      <c r="AF60" s="69"/>
      <c r="AG60" s="69"/>
      <c r="AH60" s="69"/>
      <c r="AI60" s="69"/>
      <c r="AJ60" s="69"/>
      <c r="AK60" s="69"/>
      <c r="AL60" s="69"/>
      <c r="AM60" s="69"/>
      <c r="AN60" s="69"/>
      <c r="AO60" s="69"/>
      <c r="AP60" s="69"/>
      <c r="AQ60" s="69"/>
      <c r="AR60" s="69"/>
      <c r="AS60" s="69"/>
      <c r="AT60" s="69"/>
      <c r="AU60" s="69"/>
      <c r="AV60" s="826">
        <v>30</v>
      </c>
      <c r="AW60" s="56"/>
      <c r="AX60" s="69"/>
      <c r="AY60" s="69"/>
      <c r="AZ60" s="69"/>
      <c r="BA60" s="69"/>
      <c r="BB60" s="69"/>
      <c r="BC60" s="69"/>
      <c r="BD60" s="866">
        <f t="shared" ref="BD60:BD65" si="9">SUM(AF60:BC60)</f>
        <v>30</v>
      </c>
      <c r="BE60" s="873"/>
    </row>
    <row r="61" spans="1:57" s="5" customFormat="1" ht="21" x14ac:dyDescent="0.4">
      <c r="A61" s="879"/>
      <c r="B61" s="287"/>
      <c r="C61" s="941" t="s">
        <v>229</v>
      </c>
      <c r="D61" s="942"/>
      <c r="E61" s="262"/>
      <c r="F61" s="276">
        <f>IF('Gårdens info'!$D$28&gt;0,J61/'Gårdens info'!$D$28,0)</f>
        <v>317.88384128809662</v>
      </c>
      <c r="G61" s="119" t="s">
        <v>57</v>
      </c>
      <c r="H61" s="277">
        <f>IF('Gårdens info'!$G$28&gt;0,F61/'Gårdens info'!$G$28,0)</f>
        <v>9.3495247437675483E-2</v>
      </c>
      <c r="I61" s="119" t="s">
        <v>206</v>
      </c>
      <c r="J61" s="237">
        <f>Egendom!AV25</f>
        <v>953.65152386428986</v>
      </c>
      <c r="K61" s="119" t="s">
        <v>554</v>
      </c>
      <c r="L61" s="267"/>
      <c r="M61" s="259"/>
      <c r="AE61" s="872" t="s">
        <v>303</v>
      </c>
      <c r="AF61" s="192"/>
      <c r="AG61" s="192"/>
      <c r="AH61" s="192"/>
      <c r="AI61" s="192"/>
      <c r="AJ61" s="192"/>
      <c r="AK61" s="192"/>
      <c r="AL61" s="192"/>
      <c r="AM61" s="192"/>
      <c r="AN61" s="192"/>
      <c r="AO61" s="192"/>
      <c r="AP61" s="192"/>
      <c r="AQ61" s="192"/>
      <c r="AR61" s="192"/>
      <c r="AS61" s="192"/>
      <c r="AT61" s="192"/>
      <c r="AU61" s="192"/>
      <c r="AV61" s="874">
        <v>2</v>
      </c>
      <c r="AW61" s="818"/>
      <c r="AX61" s="192"/>
      <c r="AY61" s="192"/>
      <c r="AZ61" s="192"/>
      <c r="BA61" s="192"/>
      <c r="BB61" s="192"/>
      <c r="BC61" s="192"/>
      <c r="BD61" s="866">
        <f t="shared" si="9"/>
        <v>2</v>
      </c>
      <c r="BE61" s="875"/>
    </row>
    <row r="62" spans="1:57" s="5" customFormat="1" ht="21" x14ac:dyDescent="0.4">
      <c r="A62" s="879"/>
      <c r="B62" s="287"/>
      <c r="C62" s="941" t="s">
        <v>230</v>
      </c>
      <c r="D62" s="942"/>
      <c r="E62" s="262"/>
      <c r="F62" s="276">
        <f>IF('Gårdens info'!$D$28&gt;0,J62/'Gårdens info'!$D$28,0)</f>
        <v>198.67740080506039</v>
      </c>
      <c r="G62" s="119" t="s">
        <v>57</v>
      </c>
      <c r="H62" s="277">
        <f>IF('Gårdens info'!$G$28&gt;0,F62/'Gårdens info'!$G$28,0)</f>
        <v>5.8434529648547173E-2</v>
      </c>
      <c r="I62" s="119" t="s">
        <v>206</v>
      </c>
      <c r="J62" s="237">
        <f>Egendom!BT25</f>
        <v>596.03220241518113</v>
      </c>
      <c r="K62" s="119" t="s">
        <v>554</v>
      </c>
      <c r="L62" s="267"/>
      <c r="M62" s="259"/>
      <c r="N62"/>
      <c r="O62"/>
      <c r="P62"/>
      <c r="Q62"/>
      <c r="R62"/>
      <c r="S62"/>
      <c r="T62"/>
      <c r="U62"/>
      <c r="AE62" s="872" t="s">
        <v>591</v>
      </c>
      <c r="AF62"/>
      <c r="AG62"/>
      <c r="AH62"/>
      <c r="AI62"/>
      <c r="AJ62"/>
      <c r="AK62"/>
      <c r="AL62"/>
      <c r="AM62"/>
      <c r="AN62"/>
      <c r="AO62"/>
      <c r="AP62"/>
      <c r="AQ62"/>
      <c r="AR62"/>
      <c r="AS62"/>
      <c r="AT62"/>
      <c r="AU62"/>
      <c r="AV62" s="56"/>
      <c r="AW62" s="826">
        <v>2</v>
      </c>
      <c r="AX62"/>
      <c r="AY62"/>
      <c r="AZ62"/>
      <c r="BA62"/>
      <c r="BB62"/>
      <c r="BC62"/>
      <c r="BD62" s="866">
        <f t="shared" si="9"/>
        <v>2</v>
      </c>
      <c r="BE62" s="876"/>
    </row>
    <row r="63" spans="1:57" s="5" customFormat="1" ht="17.399999999999999" customHeight="1" x14ac:dyDescent="0.3">
      <c r="A63" s="879"/>
      <c r="B63" s="287"/>
      <c r="C63" s="1108" t="s">
        <v>232</v>
      </c>
      <c r="D63" s="1108"/>
      <c r="E63" s="262"/>
      <c r="F63" s="276">
        <f>IF('Gårdens info'!$D$28&gt;0,J63/'Gårdens info'!$D$28,0)</f>
        <v>79.470960322024155</v>
      </c>
      <c r="G63" s="119" t="s">
        <v>57</v>
      </c>
      <c r="H63" s="277">
        <f>IF('Gårdens info'!$G$28&gt;0,F63/'Gårdens info'!$G$28,0)</f>
        <v>2.3373811859418871E-2</v>
      </c>
      <c r="I63" s="119" t="s">
        <v>206</v>
      </c>
      <c r="J63" s="237">
        <f>Egendom!CR25</f>
        <v>238.41288096607246</v>
      </c>
      <c r="K63" s="119" t="s">
        <v>554</v>
      </c>
      <c r="L63" s="267"/>
      <c r="M63" s="259"/>
      <c r="AE63" s="872" t="s">
        <v>352</v>
      </c>
      <c r="AF63"/>
      <c r="AG63"/>
      <c r="AH63"/>
      <c r="AI63"/>
      <c r="AJ63"/>
      <c r="AK63"/>
      <c r="AL63"/>
      <c r="AM63"/>
      <c r="AN63"/>
      <c r="AO63"/>
      <c r="AP63"/>
      <c r="AQ63"/>
      <c r="AR63"/>
      <c r="AS63"/>
      <c r="AT63"/>
      <c r="AU63"/>
      <c r="AV63" s="69"/>
      <c r="AW63" s="69"/>
      <c r="AX63"/>
      <c r="AY63"/>
      <c r="AZ63"/>
      <c r="BA63"/>
      <c r="BB63"/>
      <c r="BC63"/>
      <c r="BD63" s="866">
        <f t="shared" si="9"/>
        <v>0</v>
      </c>
      <c r="BE63" s="876"/>
    </row>
    <row r="64" spans="1:57" s="5" customFormat="1" ht="21" x14ac:dyDescent="0.4">
      <c r="A64" s="879"/>
      <c r="B64" s="287"/>
      <c r="C64" s="941" t="s">
        <v>483</v>
      </c>
      <c r="D64" s="942"/>
      <c r="E64" s="262"/>
      <c r="F64" s="276">
        <f>IF('Gårdens info'!$D$28&gt;0,J64/'Gårdens info'!$D$28,0)</f>
        <v>15.894192064404832</v>
      </c>
      <c r="G64" s="119" t="s">
        <v>57</v>
      </c>
      <c r="H64" s="277">
        <f>IF('Gårdens info'!$G$28&gt;0,F64/'Gårdens info'!$G$28,0)</f>
        <v>4.6747623718837745E-3</v>
      </c>
      <c r="I64" s="119" t="s">
        <v>206</v>
      </c>
      <c r="J64" s="237">
        <f>Egendom!DP25</f>
        <v>47.682576193214494</v>
      </c>
      <c r="K64" s="119" t="s">
        <v>554</v>
      </c>
      <c r="L64" s="267"/>
      <c r="M64" s="259"/>
      <c r="AE64" s="872" t="s">
        <v>352</v>
      </c>
      <c r="AF64"/>
      <c r="AG64"/>
      <c r="AH64"/>
      <c r="AI64"/>
      <c r="AJ64"/>
      <c r="AK64"/>
      <c r="AL64"/>
      <c r="AM64"/>
      <c r="AN64"/>
      <c r="AO64"/>
      <c r="AP64"/>
      <c r="AQ64"/>
      <c r="AR64"/>
      <c r="AS64"/>
      <c r="AT64"/>
      <c r="AU64"/>
      <c r="AV64"/>
      <c r="AW64"/>
      <c r="AX64"/>
      <c r="AY64"/>
      <c r="AZ64"/>
      <c r="BA64"/>
      <c r="BB64"/>
      <c r="BC64"/>
      <c r="BD64" s="866">
        <f t="shared" si="9"/>
        <v>0</v>
      </c>
      <c r="BE64" s="876"/>
    </row>
    <row r="65" spans="1:57" s="5" customFormat="1" ht="20.399999999999999" x14ac:dyDescent="0.35">
      <c r="A65" s="879"/>
      <c r="B65" s="289"/>
      <c r="C65" s="943" t="s">
        <v>54</v>
      </c>
      <c r="D65" s="944"/>
      <c r="E65" s="262"/>
      <c r="F65" s="280">
        <f>SUM(F61:F64)</f>
        <v>611.92639447958607</v>
      </c>
      <c r="G65" s="119" t="s">
        <v>57</v>
      </c>
      <c r="H65" s="285">
        <f t="shared" ref="H65:J65" si="10">SUM(H61:H64)</f>
        <v>0.17997835131752529</v>
      </c>
      <c r="I65" s="119" t="s">
        <v>206</v>
      </c>
      <c r="J65" s="280">
        <f t="shared" si="10"/>
        <v>1835.7791834387581</v>
      </c>
      <c r="K65" s="119" t="s">
        <v>554</v>
      </c>
      <c r="L65" s="281"/>
      <c r="M65" s="259"/>
      <c r="AE65" s="872" t="s">
        <v>352</v>
      </c>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866">
        <f t="shared" si="9"/>
        <v>0</v>
      </c>
      <c r="BE65" s="873"/>
    </row>
    <row r="66" spans="1:57" s="5" customFormat="1" ht="21.6" thickBot="1" x14ac:dyDescent="0.45">
      <c r="A66" s="879"/>
      <c r="B66" s="287"/>
      <c r="C66" s="274"/>
      <c r="D66" s="270"/>
      <c r="E66" s="262"/>
      <c r="F66" s="276"/>
      <c r="G66" s="119"/>
      <c r="H66" s="277"/>
      <c r="I66" s="119"/>
      <c r="J66" s="237"/>
      <c r="K66" s="119"/>
      <c r="L66" s="267"/>
      <c r="M66" s="259"/>
      <c r="AE66" s="877" t="s">
        <v>354</v>
      </c>
      <c r="AF66" s="862">
        <f>SUM(AF59:AF65)</f>
        <v>0</v>
      </c>
      <c r="AG66" s="862">
        <f t="shared" ref="AG66:BC66" si="11">SUM(AG59:AG65)</f>
        <v>0</v>
      </c>
      <c r="AH66" s="862">
        <f t="shared" si="11"/>
        <v>0</v>
      </c>
      <c r="AI66" s="862">
        <f t="shared" si="11"/>
        <v>0</v>
      </c>
      <c r="AJ66" s="862">
        <f t="shared" si="11"/>
        <v>0</v>
      </c>
      <c r="AK66" s="862">
        <f t="shared" si="11"/>
        <v>0</v>
      </c>
      <c r="AL66" s="862">
        <f t="shared" si="11"/>
        <v>0</v>
      </c>
      <c r="AM66" s="862">
        <f t="shared" si="11"/>
        <v>0</v>
      </c>
      <c r="AN66" s="862">
        <f t="shared" si="11"/>
        <v>0</v>
      </c>
      <c r="AO66" s="862">
        <f t="shared" si="11"/>
        <v>0</v>
      </c>
      <c r="AP66" s="862">
        <f t="shared" si="11"/>
        <v>0</v>
      </c>
      <c r="AQ66" s="862">
        <f t="shared" si="11"/>
        <v>0</v>
      </c>
      <c r="AR66" s="862">
        <f t="shared" si="11"/>
        <v>0</v>
      </c>
      <c r="AS66" s="862">
        <f t="shared" si="11"/>
        <v>0</v>
      </c>
      <c r="AT66" s="862">
        <f t="shared" si="11"/>
        <v>0</v>
      </c>
      <c r="AU66" s="862">
        <f t="shared" si="11"/>
        <v>0</v>
      </c>
      <c r="AV66" s="862">
        <f t="shared" si="11"/>
        <v>42</v>
      </c>
      <c r="AW66" s="862">
        <f t="shared" si="11"/>
        <v>2</v>
      </c>
      <c r="AX66" s="862">
        <f t="shared" si="11"/>
        <v>0</v>
      </c>
      <c r="AY66" s="862">
        <f t="shared" si="11"/>
        <v>0</v>
      </c>
      <c r="AZ66" s="862">
        <f t="shared" si="11"/>
        <v>0</v>
      </c>
      <c r="BA66" s="862">
        <f t="shared" si="11"/>
        <v>0</v>
      </c>
      <c r="BB66" s="862">
        <f t="shared" si="11"/>
        <v>0</v>
      </c>
      <c r="BC66" s="862">
        <f t="shared" si="11"/>
        <v>0</v>
      </c>
      <c r="BD66" s="862">
        <f>SUM(BD59:BD65)</f>
        <v>44</v>
      </c>
      <c r="BE66" s="878" t="s">
        <v>327</v>
      </c>
    </row>
    <row r="67" spans="1:57" s="5" customFormat="1" ht="19.95" customHeight="1" x14ac:dyDescent="0.3">
      <c r="A67" s="879"/>
      <c r="B67" s="1081" t="s">
        <v>83</v>
      </c>
      <c r="C67" s="1082"/>
      <c r="D67" s="1082"/>
      <c r="E67" s="262"/>
      <c r="F67" s="276"/>
      <c r="G67" s="119"/>
      <c r="H67" s="277"/>
      <c r="I67" s="119"/>
      <c r="J67" s="237"/>
      <c r="K67" s="119"/>
      <c r="L67" s="267"/>
      <c r="M67" s="259"/>
      <c r="AE67" s="698"/>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row>
    <row r="68" spans="1:57" s="5" customFormat="1" ht="21" x14ac:dyDescent="0.4">
      <c r="A68" s="879"/>
      <c r="B68" s="287"/>
      <c r="C68" s="941" t="s">
        <v>229</v>
      </c>
      <c r="D68" s="942"/>
      <c r="E68" s="262"/>
      <c r="F68" s="276">
        <f>IF('Gårdens info'!$D$28&gt;0,J68/'Gårdens info'!$D$28,0)</f>
        <v>255.21087470449172</v>
      </c>
      <c r="G68" s="119" t="s">
        <v>57</v>
      </c>
      <c r="H68" s="277">
        <f>IF('Gårdens info'!$G$28&gt;0,F68/'Gårdens info'!$G$28,0)</f>
        <v>7.5062021971909323E-2</v>
      </c>
      <c r="I68" s="119" t="s">
        <v>206</v>
      </c>
      <c r="J68" s="237">
        <f>Egendom!AV61</f>
        <v>765.63262411347512</v>
      </c>
      <c r="K68" s="119" t="s">
        <v>554</v>
      </c>
      <c r="L68" s="267"/>
      <c r="M68" s="259"/>
      <c r="AE68" s="699"/>
    </row>
    <row r="69" spans="1:57" s="5" customFormat="1" ht="21" x14ac:dyDescent="0.4">
      <c r="A69" s="879"/>
      <c r="B69" s="287"/>
      <c r="C69" s="941" t="s">
        <v>230</v>
      </c>
      <c r="D69" s="942"/>
      <c r="E69" s="262"/>
      <c r="F69" s="276">
        <f>IF('Gårdens info'!$D$28&gt;0,J69/'Gårdens info'!$D$28,0)</f>
        <v>95.704078014184404</v>
      </c>
      <c r="G69" s="119" t="s">
        <v>57</v>
      </c>
      <c r="H69" s="277">
        <f>IF('Gårdens info'!$G$28&gt;0,F69/'Gårdens info'!$G$28,0)</f>
        <v>2.8148258239466002E-2</v>
      </c>
      <c r="I69" s="119" t="s">
        <v>206</v>
      </c>
      <c r="J69" s="237">
        <f>Egendom!BT61</f>
        <v>287.11223404255321</v>
      </c>
      <c r="K69" s="119" t="s">
        <v>554</v>
      </c>
      <c r="L69" s="267"/>
      <c r="M69" s="259"/>
      <c r="AE69" s="699"/>
    </row>
    <row r="70" spans="1:57" s="5" customFormat="1" ht="17.399999999999999" customHeight="1" x14ac:dyDescent="0.3">
      <c r="A70" s="879"/>
      <c r="B70" s="287"/>
      <c r="C70" s="1108" t="s">
        <v>232</v>
      </c>
      <c r="D70" s="1108"/>
      <c r="E70" s="262"/>
      <c r="F70" s="276">
        <f>IF('Gårdens info'!$D$28&gt;0,J70/'Gårdens info'!$D$28,0)</f>
        <v>114.84489361702127</v>
      </c>
      <c r="G70" s="119" t="s">
        <v>57</v>
      </c>
      <c r="H70" s="277">
        <f>IF('Gårdens info'!$G$28&gt;0,F70/'Gårdens info'!$G$28,0)</f>
        <v>3.3777909887359195E-2</v>
      </c>
      <c r="I70" s="119" t="s">
        <v>206</v>
      </c>
      <c r="J70" s="237">
        <f>Egendom!CR61</f>
        <v>344.5346808510638</v>
      </c>
      <c r="K70" s="119" t="s">
        <v>554</v>
      </c>
      <c r="L70" s="267"/>
      <c r="M70" s="259"/>
      <c r="AE70" s="699"/>
    </row>
    <row r="71" spans="1:57" s="5" customFormat="1" ht="21" x14ac:dyDescent="0.4">
      <c r="A71" s="879"/>
      <c r="B71" s="287"/>
      <c r="C71" s="941" t="s">
        <v>483</v>
      </c>
      <c r="D71" s="942"/>
      <c r="E71" s="262"/>
      <c r="F71" s="276">
        <f>IF('Gårdens info'!$D$28&gt;0,J71/'Gårdens info'!$D$28,0)</f>
        <v>7.6563262411347504</v>
      </c>
      <c r="G71" s="119" t="s">
        <v>57</v>
      </c>
      <c r="H71" s="277">
        <f>IF('Gårdens info'!$G$28&gt;0,F71/'Gårdens info'!$G$28,0)</f>
        <v>2.2518606591572796E-3</v>
      </c>
      <c r="I71" s="119" t="s">
        <v>206</v>
      </c>
      <c r="J71" s="237">
        <f>Egendom!DP61</f>
        <v>22.968978723404252</v>
      </c>
      <c r="K71" s="119" t="s">
        <v>554</v>
      </c>
      <c r="L71" s="267"/>
      <c r="M71" s="259"/>
      <c r="AE71" s="56"/>
    </row>
    <row r="72" spans="1:57" s="5" customFormat="1" ht="20.399999999999999" x14ac:dyDescent="0.35">
      <c r="A72" s="879"/>
      <c r="B72" s="289"/>
      <c r="C72" s="943" t="s">
        <v>54</v>
      </c>
      <c r="D72" s="944"/>
      <c r="E72" s="262"/>
      <c r="F72" s="280">
        <f>SUM(F68:F71)</f>
        <v>473.41617257683214</v>
      </c>
      <c r="G72" s="119" t="s">
        <v>57</v>
      </c>
      <c r="H72" s="285">
        <f t="shared" ref="H72:J72" si="12">SUM(H68:H71)</f>
        <v>0.13924005075789181</v>
      </c>
      <c r="I72" s="119" t="s">
        <v>206</v>
      </c>
      <c r="J72" s="280">
        <f t="shared" si="12"/>
        <v>1420.2485177304964</v>
      </c>
      <c r="K72" s="119" t="s">
        <v>554</v>
      </c>
      <c r="L72" s="281"/>
      <c r="M72" s="259"/>
      <c r="AE72" s="56"/>
    </row>
    <row r="73" spans="1:57" s="5" customFormat="1" ht="21" x14ac:dyDescent="0.4">
      <c r="A73" s="879"/>
      <c r="B73" s="287"/>
      <c r="C73" s="274"/>
      <c r="D73" s="270"/>
      <c r="E73" s="262"/>
      <c r="F73" s="276"/>
      <c r="G73" s="119"/>
      <c r="H73" s="277"/>
      <c r="I73" s="119"/>
      <c r="J73" s="237"/>
      <c r="K73" s="119"/>
      <c r="L73" s="267"/>
      <c r="M73" s="259"/>
      <c r="AE73" s="56"/>
    </row>
    <row r="74" spans="1:57" s="5" customFormat="1" ht="19.95" customHeight="1" x14ac:dyDescent="0.3">
      <c r="A74" s="879"/>
      <c r="B74" s="1081" t="s">
        <v>239</v>
      </c>
      <c r="C74" s="1082"/>
      <c r="D74" s="1082"/>
      <c r="E74" s="262"/>
      <c r="F74" s="276"/>
      <c r="G74" s="119"/>
      <c r="H74" s="277"/>
      <c r="I74" s="119"/>
      <c r="J74" s="237"/>
      <c r="K74" s="119"/>
      <c r="L74" s="267"/>
      <c r="M74" s="259"/>
      <c r="AE74" s="56"/>
    </row>
    <row r="75" spans="1:57" s="5" customFormat="1" ht="21" x14ac:dyDescent="0.4">
      <c r="A75" s="879"/>
      <c r="B75" s="287"/>
      <c r="C75" s="941" t="s">
        <v>229</v>
      </c>
      <c r="D75" s="942"/>
      <c r="E75" s="262"/>
      <c r="F75" s="276">
        <f>IF('Gårdens info'!$D$28&gt;0,J75/'Gårdens info'!$D$28,0)</f>
        <v>865.60472972972968</v>
      </c>
      <c r="G75" s="119" t="s">
        <v>57</v>
      </c>
      <c r="H75" s="277">
        <f>IF('Gårdens info'!$G$28&gt;0,F75/'Gårdens info'!$G$28,0)</f>
        <v>0.25458962639109695</v>
      </c>
      <c r="I75" s="119" t="s">
        <v>206</v>
      </c>
      <c r="J75" s="237">
        <f>Egendom!AV90</f>
        <v>2596.8141891891892</v>
      </c>
      <c r="K75" s="119" t="s">
        <v>554</v>
      </c>
      <c r="L75" s="267"/>
      <c r="M75" s="259"/>
      <c r="AE75" s="56"/>
    </row>
    <row r="76" spans="1:57" s="5" customFormat="1" ht="21" x14ac:dyDescent="0.4">
      <c r="A76" s="879"/>
      <c r="B76" s="287"/>
      <c r="C76" s="941" t="s">
        <v>230</v>
      </c>
      <c r="D76" s="942"/>
      <c r="E76" s="262"/>
      <c r="F76" s="276">
        <f>IF('Gårdens info'!$D$28&gt;0,J76/'Gårdens info'!$D$28,0)</f>
        <v>94.43299549549549</v>
      </c>
      <c r="G76" s="119" t="s">
        <v>57</v>
      </c>
      <c r="H76" s="277">
        <f>IF('Gårdens info'!$G$28&gt;0,F76/'Gårdens info'!$G$28,0)</f>
        <v>2.7774410439851616E-2</v>
      </c>
      <c r="I76" s="119" t="s">
        <v>206</v>
      </c>
      <c r="J76" s="237">
        <f>Egendom!BT90</f>
        <v>283.29898648648646</v>
      </c>
      <c r="K76" s="119" t="s">
        <v>554</v>
      </c>
      <c r="L76" s="267"/>
      <c r="M76" s="259"/>
      <c r="AE76" s="56"/>
    </row>
    <row r="77" spans="1:57" s="5" customFormat="1" ht="17.399999999999999" customHeight="1" x14ac:dyDescent="0.3">
      <c r="A77" s="879"/>
      <c r="B77" s="287"/>
      <c r="C77" s="1108" t="s">
        <v>232</v>
      </c>
      <c r="D77" s="1108"/>
      <c r="E77" s="262"/>
      <c r="F77" s="276">
        <f>IF('Gårdens info'!$D$28&gt;0,J77/'Gårdens info'!$D$28,0)</f>
        <v>188.86599099099098</v>
      </c>
      <c r="G77" s="119" t="s">
        <v>57</v>
      </c>
      <c r="H77" s="277">
        <f>IF('Gårdens info'!$G$28&gt;0,F77/'Gårdens info'!$G$28,0)</f>
        <v>5.5548820879703233E-2</v>
      </c>
      <c r="I77" s="119" t="s">
        <v>206</v>
      </c>
      <c r="J77" s="237">
        <f>Egendom!CR90</f>
        <v>566.59797297297291</v>
      </c>
      <c r="K77" s="119" t="s">
        <v>554</v>
      </c>
      <c r="L77" s="267"/>
      <c r="M77" s="259"/>
      <c r="AE77" s="56"/>
    </row>
    <row r="78" spans="1:57" s="5" customFormat="1" ht="21" x14ac:dyDescent="0.4">
      <c r="A78" s="879"/>
      <c r="B78" s="287"/>
      <c r="C78" s="941" t="s">
        <v>483</v>
      </c>
      <c r="D78" s="942"/>
      <c r="E78" s="262"/>
      <c r="F78" s="276">
        <f>IF('Gårdens info'!$D$28&gt;0,J78/'Gårdens info'!$D$28,0)</f>
        <v>7.5546396396396398</v>
      </c>
      <c r="G78" s="119" t="s">
        <v>57</v>
      </c>
      <c r="H78" s="277">
        <f>IF('Gårdens info'!$G$28&gt;0,F78/'Gårdens info'!$G$28,0)</f>
        <v>2.2219528351881293E-3</v>
      </c>
      <c r="I78" s="119" t="s">
        <v>206</v>
      </c>
      <c r="J78" s="237">
        <f>Egendom!DP90</f>
        <v>22.66391891891892</v>
      </c>
      <c r="K78" s="119" t="s">
        <v>554</v>
      </c>
      <c r="L78" s="267"/>
      <c r="M78" s="259"/>
      <c r="AE78" s="933"/>
    </row>
    <row r="79" spans="1:57" s="5" customFormat="1" ht="20.399999999999999" x14ac:dyDescent="0.35">
      <c r="A79" s="879"/>
      <c r="B79" s="289"/>
      <c r="C79" s="943" t="s">
        <v>54</v>
      </c>
      <c r="D79" s="944"/>
      <c r="E79" s="262"/>
      <c r="F79" s="280">
        <f>SUM(F75:F78)</f>
        <v>1156.4583558558556</v>
      </c>
      <c r="G79" s="119" t="s">
        <v>57</v>
      </c>
      <c r="H79" s="285">
        <f t="shared" ref="H79:J79" si="13">SUM(H75:H78)</f>
        <v>0.34013481054583994</v>
      </c>
      <c r="I79" s="119" t="s">
        <v>206</v>
      </c>
      <c r="J79" s="280">
        <f t="shared" si="13"/>
        <v>3469.3750675675678</v>
      </c>
      <c r="K79" s="119" t="s">
        <v>554</v>
      </c>
      <c r="L79" s="281"/>
      <c r="M79" s="259"/>
      <c r="AE79" s="56"/>
    </row>
    <row r="80" spans="1:57" s="5" customFormat="1" ht="21" x14ac:dyDescent="0.4">
      <c r="A80" s="879"/>
      <c r="B80" s="287"/>
      <c r="C80" s="274"/>
      <c r="D80" s="270"/>
      <c r="E80" s="262"/>
      <c r="F80" s="276"/>
      <c r="G80" s="119"/>
      <c r="H80" s="277"/>
      <c r="I80" s="119"/>
      <c r="J80" s="237"/>
      <c r="K80" s="119"/>
      <c r="L80" s="267"/>
      <c r="M80" s="259"/>
      <c r="AE80" s="56"/>
    </row>
    <row r="81" spans="1:57" s="5" customFormat="1" ht="21" x14ac:dyDescent="0.4">
      <c r="A81" s="879"/>
      <c r="B81" s="1084" t="s">
        <v>139</v>
      </c>
      <c r="C81" s="1085"/>
      <c r="D81" s="270"/>
      <c r="E81" s="262"/>
      <c r="F81" s="276"/>
      <c r="G81" s="119"/>
      <c r="H81" s="277"/>
      <c r="I81" s="119"/>
      <c r="J81" s="237"/>
      <c r="K81" s="119"/>
      <c r="L81" s="267"/>
      <c r="M81" s="259"/>
      <c r="AE81" s="56"/>
    </row>
    <row r="82" spans="1:57" s="5" customFormat="1" ht="21" x14ac:dyDescent="0.4">
      <c r="A82" s="879"/>
      <c r="B82" s="287"/>
      <c r="C82" s="941" t="s">
        <v>229</v>
      </c>
      <c r="D82" s="942"/>
      <c r="E82" s="262"/>
      <c r="F82" s="276">
        <f>IF('Gårdens info'!$D$28&gt;0,J82/'Gårdens info'!$D$28,0)</f>
        <v>0</v>
      </c>
      <c r="G82" s="119" t="s">
        <v>57</v>
      </c>
      <c r="H82" s="277">
        <f>IF('Gårdens info'!$G$28&gt;0,F82/'Gårdens info'!$G$28,0)</f>
        <v>0</v>
      </c>
      <c r="I82" s="119" t="s">
        <v>206</v>
      </c>
      <c r="J82" s="237">
        <f>Egendom!AV93</f>
        <v>0</v>
      </c>
      <c r="K82" s="119" t="s">
        <v>554</v>
      </c>
      <c r="L82" s="267"/>
      <c r="M82" s="259"/>
      <c r="AE82" s="56"/>
    </row>
    <row r="83" spans="1:57" s="5" customFormat="1" ht="21" x14ac:dyDescent="0.4">
      <c r="A83" s="879"/>
      <c r="B83" s="287"/>
      <c r="C83" s="941" t="s">
        <v>230</v>
      </c>
      <c r="D83" s="942"/>
      <c r="E83" s="262"/>
      <c r="F83" s="276">
        <f>IF('Gårdens info'!$D$28&gt;0,J83/'Gårdens info'!$D$28,0)</f>
        <v>0</v>
      </c>
      <c r="G83" s="119" t="s">
        <v>57</v>
      </c>
      <c r="H83" s="277">
        <f>IF('Gårdens info'!$G$28&gt;0,F83/'Gårdens info'!$G$28,0)</f>
        <v>0</v>
      </c>
      <c r="I83" s="119" t="s">
        <v>206</v>
      </c>
      <c r="J83" s="237">
        <f>Egendom!BT93</f>
        <v>0</v>
      </c>
      <c r="K83" s="119" t="s">
        <v>554</v>
      </c>
      <c r="L83" s="267"/>
      <c r="M83" s="259"/>
      <c r="AE83" s="56"/>
    </row>
    <row r="84" spans="1:57" s="5" customFormat="1" ht="17.399999999999999" customHeight="1" x14ac:dyDescent="0.3">
      <c r="A84" s="879"/>
      <c r="B84" s="287"/>
      <c r="C84" s="1108" t="s">
        <v>232</v>
      </c>
      <c r="D84" s="1108"/>
      <c r="E84" s="262"/>
      <c r="F84" s="276">
        <f>IF('Gårdens info'!$D$28&gt;0,J84/'Gårdens info'!$D$28,0)</f>
        <v>12.765957446808509</v>
      </c>
      <c r="G84" s="119" t="s">
        <v>57</v>
      </c>
      <c r="H84" s="277">
        <f>IF('Gårdens info'!$G$28&gt;0,F84/'Gårdens info'!$G$28,0)</f>
        <v>3.7546933667083849E-3</v>
      </c>
      <c r="I84" s="119" t="s">
        <v>206</v>
      </c>
      <c r="J84" s="237">
        <f>Egendom!CR93</f>
        <v>38.297872340425528</v>
      </c>
      <c r="K84" s="119" t="s">
        <v>554</v>
      </c>
      <c r="L84" s="267"/>
      <c r="M84" s="259"/>
      <c r="AE84" s="56"/>
    </row>
    <row r="85" spans="1:57" s="194" customFormat="1" ht="17.399999999999999" x14ac:dyDescent="0.3">
      <c r="A85" s="881"/>
      <c r="B85" s="286"/>
      <c r="C85" s="261" t="s">
        <v>54</v>
      </c>
      <c r="D85" s="261"/>
      <c r="E85" s="261"/>
      <c r="F85" s="280">
        <f>SUM(F82:F84)</f>
        <v>12.765957446808509</v>
      </c>
      <c r="G85" s="119" t="s">
        <v>57</v>
      </c>
      <c r="H85" s="285">
        <f t="shared" ref="H85:J85" si="14">SUM(H82:H84)</f>
        <v>3.7546933667083849E-3</v>
      </c>
      <c r="I85" s="119" t="s">
        <v>206</v>
      </c>
      <c r="J85" s="280">
        <f t="shared" si="14"/>
        <v>38.297872340425528</v>
      </c>
      <c r="K85" s="119" t="s">
        <v>554</v>
      </c>
      <c r="L85" s="284"/>
      <c r="M85" s="290"/>
      <c r="N85" s="5"/>
      <c r="O85" s="5"/>
      <c r="P85" s="5"/>
      <c r="Q85" s="5"/>
      <c r="R85" s="5"/>
      <c r="S85" s="5"/>
      <c r="T85" s="5"/>
      <c r="U85" s="5"/>
      <c r="AE85" s="56"/>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row>
    <row r="86" spans="1:57" s="5" customFormat="1" ht="21" x14ac:dyDescent="0.4">
      <c r="A86" s="879"/>
      <c r="B86" s="1061" t="s">
        <v>191</v>
      </c>
      <c r="C86" s="1043"/>
      <c r="D86" s="1043"/>
      <c r="E86" s="262"/>
      <c r="F86" s="266">
        <f>F65+F72+F79+F85</f>
        <v>2254.566880359082</v>
      </c>
      <c r="G86" s="267" t="s">
        <v>57</v>
      </c>
      <c r="H86" s="268">
        <f>H65+H72+H79+H85</f>
        <v>0.66310790598796543</v>
      </c>
      <c r="I86" s="267" t="s">
        <v>206</v>
      </c>
      <c r="J86" s="269">
        <f>J65+J72+J79+J85</f>
        <v>6763.7006410772474</v>
      </c>
      <c r="K86" s="267" t="s">
        <v>554</v>
      </c>
      <c r="L86" s="267"/>
      <c r="M86" s="259"/>
      <c r="AE86" s="56"/>
    </row>
    <row r="87" spans="1:57" s="5" customFormat="1" ht="40.950000000000003" customHeight="1" x14ac:dyDescent="0.3">
      <c r="A87" s="879"/>
      <c r="B87" s="286"/>
      <c r="C87" s="262"/>
      <c r="D87" s="262"/>
      <c r="E87" s="262"/>
      <c r="F87" s="263"/>
      <c r="G87" s="243"/>
      <c r="H87" s="264"/>
      <c r="I87" s="243"/>
      <c r="J87" s="258"/>
      <c r="K87" s="243"/>
      <c r="L87" s="265"/>
      <c r="M87" s="259"/>
      <c r="AE87" s="56"/>
      <c r="AF87"/>
      <c r="AG87"/>
      <c r="AH87"/>
      <c r="AI87"/>
      <c r="AJ87"/>
      <c r="AK87"/>
      <c r="AL87"/>
      <c r="AM87"/>
      <c r="AN87"/>
      <c r="AO87"/>
      <c r="AP87"/>
      <c r="AQ87"/>
      <c r="AR87"/>
      <c r="AS87"/>
      <c r="AT87"/>
      <c r="AU87"/>
      <c r="AV87"/>
      <c r="AW87"/>
      <c r="AX87"/>
      <c r="AY87"/>
      <c r="AZ87"/>
      <c r="BA87"/>
      <c r="BB87"/>
      <c r="BC87"/>
      <c r="BD87"/>
      <c r="BE87"/>
    </row>
    <row r="88" spans="1:57" s="5" customFormat="1" ht="21" x14ac:dyDescent="0.4">
      <c r="A88" s="879"/>
      <c r="B88" s="257" t="s">
        <v>192</v>
      </c>
      <c r="C88" s="262"/>
      <c r="D88" s="262"/>
      <c r="E88" s="262"/>
      <c r="F88" s="263"/>
      <c r="G88" s="243"/>
      <c r="H88" s="264"/>
      <c r="I88" s="243"/>
      <c r="J88" s="258"/>
      <c r="K88" s="243"/>
      <c r="L88" s="265"/>
      <c r="M88" s="259"/>
      <c r="N88" s="194"/>
      <c r="O88" s="194"/>
      <c r="P88" s="194"/>
      <c r="Q88" s="194"/>
      <c r="R88" s="194"/>
      <c r="S88" s="194"/>
      <c r="T88" s="194"/>
      <c r="U88" s="194"/>
      <c r="AE88" s="56"/>
    </row>
    <row r="89" spans="1:57" s="56" customFormat="1" ht="17.399999999999999" x14ac:dyDescent="0.3">
      <c r="A89" s="880"/>
      <c r="B89" s="1126" t="s">
        <v>564</v>
      </c>
      <c r="C89" s="1127"/>
      <c r="D89" s="1127"/>
      <c r="E89" s="120"/>
      <c r="F89" s="120"/>
      <c r="G89" s="120"/>
      <c r="H89" s="120"/>
      <c r="I89" s="120"/>
      <c r="J89" s="233"/>
      <c r="K89" s="120"/>
      <c r="L89" s="120"/>
      <c r="M89" s="234"/>
      <c r="N89" s="5"/>
      <c r="O89" s="5"/>
      <c r="P89" s="5"/>
      <c r="Q89" s="5"/>
      <c r="R89" s="5"/>
      <c r="S89" s="5"/>
      <c r="T89" s="5"/>
      <c r="U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row>
    <row r="90" spans="1:57" s="69" customFormat="1" ht="17.399999999999999" x14ac:dyDescent="0.3">
      <c r="A90" s="868"/>
      <c r="B90" s="235"/>
      <c r="C90" s="228" t="s">
        <v>192</v>
      </c>
      <c r="D90" s="236"/>
      <c r="E90" s="236"/>
      <c r="F90" s="237">
        <f>IF('Gårdens info'!D28&gt;0,H185/'Gårdens info'!I28,0)</f>
        <v>406</v>
      </c>
      <c r="G90" s="119" t="s">
        <v>57</v>
      </c>
      <c r="H90" s="238">
        <f>IF('Gårdens info'!G28&gt;0,F90/'Gårdens info'!$G$28,0)</f>
        <v>0.11941176470588236</v>
      </c>
      <c r="I90" s="119" t="s">
        <v>206</v>
      </c>
      <c r="J90" s="237">
        <f>F90*'Gårdens info'!D28</f>
        <v>1218</v>
      </c>
      <c r="K90" s="119" t="s">
        <v>554</v>
      </c>
      <c r="L90" s="236"/>
      <c r="M90" s="239"/>
      <c r="N90" s="5"/>
      <c r="O90" s="5"/>
      <c r="P90" s="5"/>
      <c r="Q90" s="5"/>
      <c r="R90" s="5"/>
      <c r="S90" s="5"/>
      <c r="T90" s="5"/>
      <c r="U90" s="5"/>
      <c r="AE90" s="56"/>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row>
    <row r="91" spans="1:57" s="5" customFormat="1" ht="17.399999999999999" x14ac:dyDescent="0.3">
      <c r="A91" s="879"/>
      <c r="B91" s="286"/>
      <c r="C91" s="262"/>
      <c r="D91" s="262"/>
      <c r="E91" s="262"/>
      <c r="F91" s="263"/>
      <c r="G91" s="243"/>
      <c r="H91" s="264"/>
      <c r="I91" s="243"/>
      <c r="J91" s="258"/>
      <c r="K91" s="243"/>
      <c r="L91" s="265"/>
      <c r="M91" s="259"/>
      <c r="AE91" s="56"/>
    </row>
    <row r="92" spans="1:57" s="56" customFormat="1" ht="17.399999999999999" x14ac:dyDescent="0.3">
      <c r="A92" s="880"/>
      <c r="B92" s="291" t="s">
        <v>389</v>
      </c>
      <c r="C92" s="245"/>
      <c r="D92" s="249"/>
      <c r="E92" s="249"/>
      <c r="F92" s="250"/>
      <c r="G92" s="120"/>
      <c r="H92" s="249"/>
      <c r="I92" s="249"/>
      <c r="J92" s="249"/>
      <c r="K92" s="249"/>
      <c r="L92" s="249"/>
      <c r="M92" s="234"/>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row>
    <row r="93" spans="1:57" s="69" customFormat="1" ht="17.399999999999999" x14ac:dyDescent="0.3">
      <c r="A93" s="868"/>
      <c r="B93" s="235"/>
      <c r="C93" s="228" t="s">
        <v>192</v>
      </c>
      <c r="D93" s="236"/>
      <c r="E93" s="236"/>
      <c r="F93" s="237">
        <f>IF('Gårdens info'!D28&gt;0,H302,0)</f>
        <v>1725.5</v>
      </c>
      <c r="G93" s="119" t="s">
        <v>57</v>
      </c>
      <c r="H93" s="238">
        <f>IF('Gårdens info'!G28&gt;0,F93/'Gårdens info'!$G$28,0)</f>
        <v>0.50749999999999995</v>
      </c>
      <c r="I93" s="119" t="s">
        <v>206</v>
      </c>
      <c r="J93" s="237">
        <f>F93*'Gårdens info'!D28</f>
        <v>5176.5</v>
      </c>
      <c r="K93" s="119" t="s">
        <v>554</v>
      </c>
      <c r="L93" s="236"/>
      <c r="M93" s="239"/>
      <c r="AE93" s="56"/>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row>
    <row r="94" spans="1:57" s="56" customFormat="1" ht="17.399999999999999" x14ac:dyDescent="0.3">
      <c r="A94" s="880"/>
      <c r="B94" s="248"/>
      <c r="C94" s="245"/>
      <c r="D94" s="249"/>
      <c r="E94" s="249"/>
      <c r="F94" s="250"/>
      <c r="G94" s="120"/>
      <c r="H94" s="249"/>
      <c r="I94" s="249"/>
      <c r="J94" s="249"/>
      <c r="K94" s="249"/>
      <c r="L94" s="249"/>
      <c r="M94" s="234"/>
      <c r="N94" s="5"/>
      <c r="O94" s="5"/>
      <c r="P94" s="5"/>
      <c r="Q94" s="5"/>
      <c r="R94" s="5"/>
      <c r="S94" s="5"/>
      <c r="T94" s="5"/>
      <c r="U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row>
    <row r="95" spans="1:57" ht="27" customHeight="1" x14ac:dyDescent="0.3">
      <c r="B95" s="291" t="s">
        <v>581</v>
      </c>
      <c r="C95" s="245"/>
      <c r="D95" s="246"/>
      <c r="E95" s="246"/>
      <c r="F95" s="246"/>
      <c r="G95" s="246"/>
      <c r="H95" s="246"/>
      <c r="I95" s="246"/>
      <c r="J95" s="246"/>
      <c r="K95" s="246"/>
      <c r="L95" s="246"/>
      <c r="M95" s="226"/>
      <c r="N95" s="56"/>
      <c r="O95" s="56"/>
      <c r="P95" s="56"/>
      <c r="Q95" s="56"/>
      <c r="R95" s="56"/>
      <c r="S95" s="56"/>
      <c r="T95" s="56"/>
      <c r="U95" s="56"/>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row>
    <row r="96" spans="1:57" s="69" customFormat="1" ht="15" x14ac:dyDescent="0.25">
      <c r="A96" s="868"/>
      <c r="B96" s="235"/>
      <c r="C96" s="228" t="s">
        <v>192</v>
      </c>
      <c r="D96" s="236"/>
      <c r="E96" s="236"/>
      <c r="F96" s="237">
        <f>IF('Gårdens info'!D28&gt;0,H360/'Gårdens info'!I28,0)</f>
        <v>67.666666666666671</v>
      </c>
      <c r="G96" s="119" t="s">
        <v>57</v>
      </c>
      <c r="H96" s="238">
        <f>IF('Gårdens info'!G28&gt;0,F96/'Gårdens info'!$G$28,0)</f>
        <v>1.9901960784313728E-2</v>
      </c>
      <c r="I96" s="119" t="s">
        <v>206</v>
      </c>
      <c r="J96" s="237">
        <f>F96*'Gårdens info'!D28</f>
        <v>203</v>
      </c>
      <c r="K96" s="119" t="s">
        <v>554</v>
      </c>
      <c r="L96" s="236"/>
      <c r="M96" s="239"/>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row>
    <row r="97" spans="1:57" s="5" customFormat="1" ht="21" customHeight="1" x14ac:dyDescent="0.4">
      <c r="A97" s="879"/>
      <c r="B97" s="345" t="s">
        <v>194</v>
      </c>
      <c r="C97" s="949"/>
      <c r="D97" s="949"/>
      <c r="E97" s="262"/>
      <c r="F97" s="266">
        <f>F90+F93+F96</f>
        <v>2199.1666666666665</v>
      </c>
      <c r="G97" s="267" t="s">
        <v>57</v>
      </c>
      <c r="H97" s="268">
        <f>H90+H93+H96</f>
        <v>0.646813725490196</v>
      </c>
      <c r="I97" s="267" t="s">
        <v>206</v>
      </c>
      <c r="J97" s="269">
        <f>J90+J93+J96</f>
        <v>6597.5</v>
      </c>
      <c r="K97" s="267" t="s">
        <v>554</v>
      </c>
      <c r="L97" s="267"/>
      <c r="M97" s="259"/>
      <c r="N97" s="56"/>
      <c r="O97" s="56"/>
      <c r="P97" s="56"/>
      <c r="Q97" s="56"/>
      <c r="R97" s="56"/>
      <c r="S97" s="56"/>
      <c r="T97" s="56"/>
      <c r="U97" s="56"/>
    </row>
    <row r="98" spans="1:57" s="5" customFormat="1" ht="21" x14ac:dyDescent="0.4">
      <c r="A98" s="879"/>
      <c r="B98" s="288"/>
      <c r="C98" s="270"/>
      <c r="D98" s="270"/>
      <c r="E98" s="262"/>
      <c r="F98" s="266"/>
      <c r="G98" s="267"/>
      <c r="H98" s="268"/>
      <c r="I98" s="267"/>
      <c r="J98" s="269"/>
      <c r="K98" s="267"/>
      <c r="L98" s="267"/>
      <c r="M98" s="259"/>
      <c r="N98"/>
      <c r="O98"/>
      <c r="P98"/>
      <c r="Q98"/>
      <c r="R98"/>
      <c r="S98"/>
      <c r="T98"/>
      <c r="U98"/>
    </row>
    <row r="99" spans="1:57" s="5" customFormat="1" ht="19.95" customHeight="1" x14ac:dyDescent="0.4">
      <c r="A99" s="879"/>
      <c r="B99" s="1061" t="s">
        <v>195</v>
      </c>
      <c r="C99" s="1043"/>
      <c r="D99" s="1043"/>
      <c r="E99" s="262"/>
      <c r="F99" s="266">
        <f>F57+F86+F97</f>
        <v>19268.260128586036</v>
      </c>
      <c r="G99" s="267" t="s">
        <v>57</v>
      </c>
      <c r="H99" s="572">
        <f>H57+H86+H97</f>
        <v>5.6354707512111606</v>
      </c>
      <c r="I99" s="267" t="s">
        <v>206</v>
      </c>
      <c r="J99" s="266">
        <f>J57+J86+J97</f>
        <v>57804.780385758095</v>
      </c>
      <c r="K99" s="267" t="s">
        <v>554</v>
      </c>
      <c r="L99" s="267"/>
      <c r="M99" s="259"/>
      <c r="N99"/>
      <c r="O99"/>
      <c r="P99"/>
      <c r="Q99"/>
      <c r="R99"/>
      <c r="S99"/>
      <c r="T99"/>
      <c r="U99"/>
    </row>
    <row r="100" spans="1:57" s="5" customFormat="1" ht="21" x14ac:dyDescent="0.4">
      <c r="A100" s="879"/>
      <c r="B100" s="288"/>
      <c r="C100" s="270"/>
      <c r="D100" s="270"/>
      <c r="E100" s="262"/>
      <c r="F100" s="266"/>
      <c r="G100" s="267"/>
      <c r="H100" s="268"/>
      <c r="I100" s="267"/>
      <c r="J100" s="269"/>
      <c r="K100" s="267"/>
      <c r="L100" s="267"/>
      <c r="M100" s="259"/>
      <c r="N100"/>
      <c r="O100"/>
      <c r="P100"/>
      <c r="Q100"/>
      <c r="R100"/>
      <c r="S100"/>
      <c r="T100"/>
      <c r="U100"/>
    </row>
    <row r="101" spans="1:57" s="5" customFormat="1" ht="21.6" thickBot="1" x14ac:dyDescent="0.45">
      <c r="A101" s="879"/>
      <c r="B101" s="1059" t="s">
        <v>198</v>
      </c>
      <c r="C101" s="1060"/>
      <c r="D101" s="1060"/>
      <c r="E101" s="253"/>
      <c r="F101" s="292">
        <f>F11-F57-F86-F97</f>
        <v>3447.4398714139638</v>
      </c>
      <c r="G101" s="293" t="s">
        <v>57</v>
      </c>
      <c r="H101" s="294">
        <f>H11-H57-H86-H97</f>
        <v>1.0456174840829568</v>
      </c>
      <c r="I101" s="293" t="s">
        <v>206</v>
      </c>
      <c r="J101" s="292">
        <f>J11-J57-J86-J97</f>
        <v>10342.319614241893</v>
      </c>
      <c r="K101" s="293" t="s">
        <v>554</v>
      </c>
      <c r="L101" s="293"/>
      <c r="M101" s="254"/>
      <c r="N101" s="69"/>
      <c r="O101" s="69"/>
      <c r="P101" s="69"/>
      <c r="Q101" s="69"/>
      <c r="R101" s="69"/>
      <c r="S101" s="69"/>
      <c r="T101" s="69"/>
      <c r="U101" s="69"/>
    </row>
    <row r="102" spans="1:57" ht="57" customHeight="1" thickBot="1" x14ac:dyDescent="0.45">
      <c r="B102" s="55"/>
      <c r="N102" s="5"/>
      <c r="O102" s="5"/>
      <c r="P102" s="5"/>
      <c r="Q102" s="5"/>
      <c r="R102" s="5"/>
      <c r="S102" s="5"/>
      <c r="T102" s="5"/>
      <c r="U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row>
    <row r="103" spans="1:57" ht="22.95" customHeight="1" thickBot="1" x14ac:dyDescent="0.45">
      <c r="B103" s="1129" t="s">
        <v>564</v>
      </c>
      <c r="C103" s="1130"/>
      <c r="D103" s="1130"/>
      <c r="E103" s="1131"/>
      <c r="L103" s="1099" t="s">
        <v>241</v>
      </c>
      <c r="M103" s="1099"/>
      <c r="N103" s="5"/>
      <c r="O103" s="5"/>
      <c r="P103" s="5"/>
      <c r="Q103" s="5"/>
      <c r="R103" s="5"/>
      <c r="S103" s="5"/>
      <c r="T103" s="5"/>
      <c r="U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row>
    <row r="104" spans="1:57" ht="16.95" customHeight="1" x14ac:dyDescent="0.4">
      <c r="B104" s="193"/>
      <c r="C104" s="193"/>
      <c r="D104" s="193"/>
      <c r="E104" s="193"/>
      <c r="N104" s="5"/>
      <c r="O104" s="5"/>
      <c r="P104" s="5"/>
      <c r="Q104" s="5"/>
      <c r="R104" s="5"/>
      <c r="S104" s="5"/>
      <c r="T104" s="5"/>
      <c r="U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row>
    <row r="105" spans="1:57" ht="15.6" x14ac:dyDescent="0.3">
      <c r="B105" s="89" t="s">
        <v>592</v>
      </c>
      <c r="C105" s="44"/>
      <c r="D105" s="44"/>
      <c r="E105" s="44"/>
      <c r="F105" s="1077" t="s">
        <v>114</v>
      </c>
      <c r="G105" s="1077"/>
      <c r="H105" s="1077" t="s">
        <v>113</v>
      </c>
      <c r="I105" s="1077"/>
      <c r="J105" s="1077" t="s">
        <v>243</v>
      </c>
      <c r="K105" s="1077"/>
      <c r="L105" s="111" t="s">
        <v>593</v>
      </c>
      <c r="M105" s="46"/>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row>
    <row r="106" spans="1:57" ht="13.8" thickBot="1" x14ac:dyDescent="0.3">
      <c r="B106" s="48"/>
      <c r="C106" s="44"/>
      <c r="D106" s="44"/>
      <c r="E106" s="44"/>
      <c r="F106" s="44"/>
      <c r="G106" s="44"/>
      <c r="H106" s="44"/>
      <c r="I106" s="44"/>
      <c r="J106" s="46"/>
      <c r="K106" s="46"/>
      <c r="L106" s="46"/>
      <c r="M106" s="46"/>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row>
    <row r="107" spans="1:57" ht="13.8" thickBot="1" x14ac:dyDescent="0.3">
      <c r="B107" s="44"/>
      <c r="C107" s="45" t="s">
        <v>594</v>
      </c>
      <c r="D107" s="46"/>
      <c r="E107" s="44"/>
      <c r="F107" s="94">
        <v>25000</v>
      </c>
      <c r="G107" s="44" t="s">
        <v>357</v>
      </c>
      <c r="H107" s="73">
        <v>0.25</v>
      </c>
      <c r="I107" s="49" t="s">
        <v>246</v>
      </c>
      <c r="J107" s="191">
        <f>F107*H107</f>
        <v>6250</v>
      </c>
      <c r="K107" s="44" t="s">
        <v>57</v>
      </c>
      <c r="L107" s="44" t="s">
        <v>595</v>
      </c>
      <c r="M107" s="46"/>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row>
    <row r="108" spans="1:57" ht="13.8" thickBot="1" x14ac:dyDescent="0.3">
      <c r="B108" s="44"/>
      <c r="C108" s="44" t="s">
        <v>596</v>
      </c>
      <c r="D108" s="45"/>
      <c r="E108" s="44"/>
      <c r="F108" s="94"/>
      <c r="G108" s="44" t="s">
        <v>357</v>
      </c>
      <c r="H108" s="73"/>
      <c r="I108" s="49" t="s">
        <v>246</v>
      </c>
      <c r="J108" s="191">
        <f t="shared" ref="J108:J111" si="15">F108*H108</f>
        <v>0</v>
      </c>
      <c r="K108" s="44" t="s">
        <v>57</v>
      </c>
      <c r="L108" s="46"/>
      <c r="M108" s="46"/>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row>
    <row r="109" spans="1:57" ht="13.8" thickBot="1" x14ac:dyDescent="0.3">
      <c r="B109" s="44"/>
      <c r="C109" s="44" t="s">
        <v>596</v>
      </c>
      <c r="D109" s="45"/>
      <c r="E109" s="44"/>
      <c r="F109" s="94"/>
      <c r="G109" s="44" t="s">
        <v>357</v>
      </c>
      <c r="H109" s="73"/>
      <c r="I109" s="49" t="s">
        <v>246</v>
      </c>
      <c r="J109" s="191">
        <f t="shared" si="15"/>
        <v>0</v>
      </c>
      <c r="K109" s="44" t="s">
        <v>57</v>
      </c>
      <c r="L109" s="46"/>
      <c r="M109" s="46"/>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row>
    <row r="110" spans="1:57" ht="13.8" thickBot="1" x14ac:dyDescent="0.3">
      <c r="B110" s="44"/>
      <c r="C110" s="44"/>
      <c r="D110" s="50"/>
      <c r="E110" s="44"/>
      <c r="F110" s="44"/>
      <c r="G110" s="44"/>
      <c r="H110" s="49"/>
      <c r="I110" s="49"/>
      <c r="J110" s="191"/>
      <c r="K110" s="44"/>
      <c r="L110" s="46"/>
      <c r="M110" s="46"/>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row>
    <row r="111" spans="1:57" ht="13.8" thickBot="1" x14ac:dyDescent="0.3">
      <c r="B111" s="44"/>
      <c r="C111" s="44" t="s">
        <v>597</v>
      </c>
      <c r="D111" s="50"/>
      <c r="E111" s="44"/>
      <c r="F111" s="94">
        <v>0</v>
      </c>
      <c r="G111" s="44" t="s">
        <v>8</v>
      </c>
      <c r="H111" s="77">
        <v>0</v>
      </c>
      <c r="I111" s="49" t="s">
        <v>206</v>
      </c>
      <c r="J111" s="191">
        <f t="shared" si="15"/>
        <v>0</v>
      </c>
      <c r="K111" s="44" t="s">
        <v>57</v>
      </c>
      <c r="L111" s="46"/>
      <c r="M111" s="46"/>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row>
    <row r="112" spans="1:57" ht="13.8" thickBot="1" x14ac:dyDescent="0.3">
      <c r="B112" s="44"/>
      <c r="C112" s="44" t="s">
        <v>598</v>
      </c>
      <c r="D112" s="50"/>
      <c r="E112" s="44"/>
      <c r="F112" s="94"/>
      <c r="G112" s="44" t="s">
        <v>8</v>
      </c>
      <c r="H112" s="77"/>
      <c r="I112" s="49" t="s">
        <v>206</v>
      </c>
      <c r="J112" s="191"/>
      <c r="K112" s="44" t="s">
        <v>57</v>
      </c>
      <c r="L112" s="46"/>
      <c r="M112" s="46"/>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row>
    <row r="113" spans="1:57" s="5" customFormat="1" ht="15.6" x14ac:dyDescent="0.3">
      <c r="A113" s="879"/>
      <c r="B113" s="50"/>
      <c r="C113" s="50" t="s">
        <v>54</v>
      </c>
      <c r="D113" s="50"/>
      <c r="E113" s="50"/>
      <c r="F113" s="218"/>
      <c r="G113" s="50"/>
      <c r="H113" s="219"/>
      <c r="I113" s="219"/>
      <c r="J113" s="220">
        <f>SUM(J107:J112)</f>
        <v>6250</v>
      </c>
      <c r="K113" s="50" t="s">
        <v>57</v>
      </c>
      <c r="L113" s="50"/>
      <c r="M113" s="50"/>
      <c r="N113"/>
      <c r="O113"/>
      <c r="P113"/>
      <c r="Q113"/>
      <c r="R113"/>
      <c r="S113"/>
      <c r="T113"/>
      <c r="U113"/>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4"/>
      <c r="BB113" s="194"/>
      <c r="BC113" s="194"/>
      <c r="BD113" s="194"/>
      <c r="BE113" s="194"/>
    </row>
    <row r="114" spans="1:57" x14ac:dyDescent="0.25">
      <c r="B114" s="44"/>
      <c r="C114" s="44"/>
      <c r="D114" s="50"/>
      <c r="E114" s="44"/>
      <c r="F114" s="47"/>
      <c r="G114" s="44"/>
      <c r="H114" s="49"/>
      <c r="I114" s="49"/>
      <c r="J114" s="46"/>
      <c r="K114" s="44"/>
      <c r="L114" s="46"/>
      <c r="M114" s="46"/>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row>
    <row r="115" spans="1:57" ht="37.200000000000003" customHeight="1" x14ac:dyDescent="0.25">
      <c r="B115" s="13"/>
      <c r="C115" s="13"/>
      <c r="D115" s="5"/>
      <c r="E115" s="13"/>
      <c r="F115" s="13"/>
      <c r="G115" s="13"/>
      <c r="H115" s="12"/>
      <c r="I115" s="12"/>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row>
    <row r="116" spans="1:57" ht="15.6" x14ac:dyDescent="0.3">
      <c r="B116" s="96" t="s">
        <v>599</v>
      </c>
      <c r="C116" s="97"/>
      <c r="D116" s="97"/>
      <c r="E116" s="97"/>
      <c r="F116" s="1074" t="s">
        <v>114</v>
      </c>
      <c r="G116" s="1074"/>
      <c r="H116" s="1074" t="s">
        <v>113</v>
      </c>
      <c r="I116" s="1074"/>
      <c r="J116" s="1074" t="s">
        <v>243</v>
      </c>
      <c r="K116" s="1074"/>
      <c r="L116" s="99"/>
      <c r="M116" s="99"/>
      <c r="N116" s="5"/>
      <c r="O116" s="5"/>
      <c r="P116" s="5"/>
      <c r="Q116" s="5"/>
      <c r="R116" s="5"/>
      <c r="S116" s="5"/>
      <c r="T116" s="5"/>
      <c r="U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row>
    <row r="117" spans="1:57" ht="18" thickBot="1" x14ac:dyDescent="0.35">
      <c r="B117" s="97"/>
      <c r="C117" s="97"/>
      <c r="D117" s="97"/>
      <c r="E117" s="97"/>
      <c r="F117" s="97"/>
      <c r="G117" s="97"/>
      <c r="H117" s="98"/>
      <c r="I117" s="98"/>
      <c r="J117" s="99"/>
      <c r="K117" s="99"/>
      <c r="L117" s="99"/>
      <c r="M117" s="99"/>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row>
    <row r="118" spans="1:57" ht="15.6" thickBot="1" x14ac:dyDescent="0.3">
      <c r="B118" s="97"/>
      <c r="C118" s="97" t="s">
        <v>600</v>
      </c>
      <c r="D118" s="99"/>
      <c r="E118" s="97"/>
      <c r="F118" s="94">
        <v>300</v>
      </c>
      <c r="G118" s="97" t="s">
        <v>212</v>
      </c>
      <c r="H118" s="77">
        <v>0.95</v>
      </c>
      <c r="I118" s="98" t="s">
        <v>206</v>
      </c>
      <c r="J118" s="190">
        <f>F118*H118</f>
        <v>285</v>
      </c>
      <c r="K118" s="97" t="s">
        <v>57</v>
      </c>
      <c r="L118" s="99"/>
      <c r="M118" s="9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row>
    <row r="119" spans="1:57" ht="13.8" thickBot="1" x14ac:dyDescent="0.3">
      <c r="B119" s="97"/>
      <c r="C119" s="97" t="s">
        <v>601</v>
      </c>
      <c r="D119" s="99"/>
      <c r="E119" s="97"/>
      <c r="F119" s="94">
        <v>800</v>
      </c>
      <c r="G119" s="97" t="s">
        <v>212</v>
      </c>
      <c r="H119" s="77">
        <v>1</v>
      </c>
      <c r="I119" s="98" t="s">
        <v>206</v>
      </c>
      <c r="J119" s="190">
        <f t="shared" ref="J119:J121" si="16">F119*H119</f>
        <v>800</v>
      </c>
      <c r="K119" s="97" t="s">
        <v>57</v>
      </c>
      <c r="L119" s="99"/>
      <c r="M119" s="99"/>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row>
    <row r="120" spans="1:57" ht="18" thickBot="1" x14ac:dyDescent="0.35">
      <c r="B120" s="97"/>
      <c r="C120" s="97" t="s">
        <v>251</v>
      </c>
      <c r="D120" s="97"/>
      <c r="E120" s="97"/>
      <c r="F120" s="74"/>
      <c r="G120" s="97" t="s">
        <v>212</v>
      </c>
      <c r="H120" s="77"/>
      <c r="I120" s="98" t="s">
        <v>206</v>
      </c>
      <c r="J120" s="190">
        <f t="shared" si="16"/>
        <v>0</v>
      </c>
      <c r="K120" s="97" t="s">
        <v>57</v>
      </c>
      <c r="L120" s="99"/>
      <c r="M120" s="99"/>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row>
    <row r="121" spans="1:57" ht="15.6" thickBot="1" x14ac:dyDescent="0.3">
      <c r="B121" s="97"/>
      <c r="C121" s="97" t="s">
        <v>251</v>
      </c>
      <c r="D121" s="97"/>
      <c r="E121" s="97"/>
      <c r="F121" s="74"/>
      <c r="G121" s="97" t="s">
        <v>212</v>
      </c>
      <c r="H121" s="76"/>
      <c r="I121" s="98" t="s">
        <v>206</v>
      </c>
      <c r="J121" s="190">
        <f t="shared" si="16"/>
        <v>0</v>
      </c>
      <c r="K121" s="97" t="s">
        <v>57</v>
      </c>
      <c r="L121" s="99"/>
      <c r="M121" s="9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row>
    <row r="122" spans="1:57" s="5" customFormat="1" ht="17.399999999999999" x14ac:dyDescent="0.3">
      <c r="A122" s="879"/>
      <c r="B122" s="214"/>
      <c r="C122" s="214" t="s">
        <v>54</v>
      </c>
      <c r="D122" s="214"/>
      <c r="E122" s="214"/>
      <c r="F122" s="214"/>
      <c r="G122" s="214"/>
      <c r="H122" s="216"/>
      <c r="I122" s="215"/>
      <c r="J122" s="217">
        <f>SUM(J118:J121)</f>
        <v>1085</v>
      </c>
      <c r="K122" s="214" t="s">
        <v>57</v>
      </c>
      <c r="L122" s="214"/>
      <c r="M122" s="214"/>
      <c r="N122"/>
      <c r="O122"/>
      <c r="P122"/>
      <c r="Q122"/>
      <c r="R122"/>
      <c r="S122"/>
      <c r="T122"/>
      <c r="U122"/>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row>
    <row r="123" spans="1:57" x14ac:dyDescent="0.25">
      <c r="B123" s="97"/>
      <c r="C123" s="97"/>
      <c r="D123" s="97"/>
      <c r="E123" s="97"/>
      <c r="F123" s="97"/>
      <c r="G123" s="97"/>
      <c r="H123" s="98"/>
      <c r="I123" s="98"/>
      <c r="J123" s="99"/>
      <c r="K123" s="99"/>
      <c r="L123" s="99"/>
      <c r="M123" s="99"/>
    </row>
    <row r="124" spans="1:57" ht="33" customHeight="1" x14ac:dyDescent="0.25">
      <c r="B124" s="13"/>
      <c r="C124" s="13"/>
      <c r="D124" s="13"/>
      <c r="E124" s="13"/>
      <c r="F124" s="13"/>
      <c r="G124" s="13"/>
      <c r="H124" s="12"/>
      <c r="I124" s="12"/>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row>
    <row r="125" spans="1:57" ht="15.6" x14ac:dyDescent="0.3">
      <c r="B125" s="85" t="s">
        <v>602</v>
      </c>
      <c r="C125" s="51"/>
      <c r="D125" s="51"/>
      <c r="E125" s="51"/>
      <c r="F125" s="1075" t="s">
        <v>114</v>
      </c>
      <c r="G125" s="1075"/>
      <c r="H125" s="1076" t="s">
        <v>113</v>
      </c>
      <c r="I125" s="1076"/>
      <c r="J125" s="1075" t="s">
        <v>243</v>
      </c>
      <c r="K125" s="1075"/>
      <c r="L125" s="58"/>
      <c r="M125" s="58"/>
      <c r="N125" s="5"/>
      <c r="O125" s="5"/>
      <c r="P125" s="5"/>
      <c r="Q125" s="5"/>
      <c r="R125" s="5"/>
      <c r="S125" s="5"/>
      <c r="T125" s="5"/>
      <c r="U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row>
    <row r="126" spans="1:57" ht="15.6" x14ac:dyDescent="0.3">
      <c r="B126" s="85"/>
      <c r="C126" s="51"/>
      <c r="D126" s="51"/>
      <c r="E126" s="51"/>
      <c r="F126" s="59"/>
      <c r="G126" s="59"/>
      <c r="H126" s="60"/>
      <c r="I126" s="60"/>
      <c r="J126" s="59"/>
      <c r="K126" s="59"/>
      <c r="L126" s="58"/>
      <c r="M126" s="58"/>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row>
    <row r="127" spans="1:57" ht="13.8" thickBot="1" x14ac:dyDescent="0.3">
      <c r="B127" s="171" t="s">
        <v>254</v>
      </c>
      <c r="C127" s="51"/>
      <c r="D127" s="51"/>
      <c r="E127" s="51"/>
      <c r="F127" s="53"/>
      <c r="G127" s="53"/>
      <c r="H127" s="52"/>
      <c r="I127" s="52"/>
      <c r="J127" s="58"/>
      <c r="K127" s="58"/>
      <c r="L127" s="58"/>
      <c r="M127" s="58"/>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row>
    <row r="128" spans="1:57" ht="13.8" thickBot="1" x14ac:dyDescent="0.3">
      <c r="B128" s="51"/>
      <c r="C128" s="51" t="s">
        <v>603</v>
      </c>
      <c r="D128" s="58"/>
      <c r="E128" s="51"/>
      <c r="F128" s="95">
        <v>4</v>
      </c>
      <c r="G128" s="53" t="s">
        <v>256</v>
      </c>
      <c r="H128" s="77">
        <v>4.5</v>
      </c>
      <c r="I128" s="52" t="s">
        <v>257</v>
      </c>
      <c r="J128" s="58">
        <f>F128*H128</f>
        <v>18</v>
      </c>
      <c r="K128" s="51" t="s">
        <v>57</v>
      </c>
      <c r="L128" s="58"/>
      <c r="M128" s="58"/>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row>
    <row r="129" spans="1:57" ht="13.8" thickBot="1" x14ac:dyDescent="0.3">
      <c r="B129" s="51"/>
      <c r="C129" s="51" t="s">
        <v>265</v>
      </c>
      <c r="D129" s="51"/>
      <c r="E129" s="51"/>
      <c r="F129" s="95"/>
      <c r="G129" s="53" t="s">
        <v>256</v>
      </c>
      <c r="H129" s="77"/>
      <c r="I129" s="52" t="s">
        <v>257</v>
      </c>
      <c r="J129" s="58">
        <f t="shared" ref="J129:J130" si="17">F129*H129</f>
        <v>0</v>
      </c>
      <c r="K129" s="51" t="s">
        <v>57</v>
      </c>
      <c r="L129" s="58"/>
      <c r="M129" s="58"/>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row>
    <row r="130" spans="1:57" ht="13.8" thickBot="1" x14ac:dyDescent="0.3">
      <c r="B130" s="51"/>
      <c r="C130" s="51" t="s">
        <v>265</v>
      </c>
      <c r="D130" s="51"/>
      <c r="E130" s="51"/>
      <c r="F130" s="95"/>
      <c r="G130" s="53" t="s">
        <v>256</v>
      </c>
      <c r="H130" s="77"/>
      <c r="I130" s="52" t="s">
        <v>257</v>
      </c>
      <c r="J130" s="58">
        <f t="shared" si="17"/>
        <v>0</v>
      </c>
      <c r="K130" s="51" t="s">
        <v>57</v>
      </c>
      <c r="L130" s="58"/>
      <c r="M130" s="58"/>
    </row>
    <row r="131" spans="1:57" x14ac:dyDescent="0.25">
      <c r="B131" s="51"/>
      <c r="C131" s="51"/>
      <c r="D131" s="51"/>
      <c r="E131" s="51"/>
      <c r="F131" s="53"/>
      <c r="G131" s="53"/>
      <c r="H131" s="52"/>
      <c r="I131" s="52"/>
      <c r="J131" s="58"/>
      <c r="K131" s="51"/>
      <c r="L131" s="58"/>
      <c r="M131" s="58"/>
    </row>
    <row r="132" spans="1:57" ht="13.8" thickBot="1" x14ac:dyDescent="0.3">
      <c r="B132" s="171" t="s">
        <v>266</v>
      </c>
      <c r="C132" s="51"/>
      <c r="D132" s="51"/>
      <c r="E132" s="51"/>
      <c r="F132" s="53"/>
      <c r="G132" s="53"/>
      <c r="H132" s="52"/>
      <c r="I132" s="52"/>
      <c r="J132" s="58"/>
      <c r="K132" s="51"/>
      <c r="L132" s="58"/>
      <c r="M132" s="58"/>
    </row>
    <row r="133" spans="1:57" ht="13.8" thickBot="1" x14ac:dyDescent="0.3">
      <c r="B133" s="51"/>
      <c r="C133" s="51"/>
      <c r="D133" s="51"/>
      <c r="E133" s="51"/>
      <c r="F133" s="95"/>
      <c r="G133" s="53"/>
      <c r="H133" s="95"/>
      <c r="I133" s="52"/>
      <c r="J133" s="58"/>
      <c r="K133" s="51" t="s">
        <v>57</v>
      </c>
      <c r="L133" s="58"/>
      <c r="M133" s="58"/>
    </row>
    <row r="134" spans="1:57" ht="13.8" thickBot="1" x14ac:dyDescent="0.3">
      <c r="B134" s="51"/>
      <c r="C134" s="51"/>
      <c r="D134" s="51"/>
      <c r="E134" s="51"/>
      <c r="F134" s="95"/>
      <c r="G134" s="53"/>
      <c r="H134" s="95"/>
      <c r="I134" s="52"/>
      <c r="J134" s="58"/>
      <c r="K134" s="51" t="s">
        <v>57</v>
      </c>
      <c r="L134" s="58"/>
      <c r="M134" s="58"/>
    </row>
    <row r="135" spans="1:57" ht="13.8" thickBot="1" x14ac:dyDescent="0.3">
      <c r="B135" s="51"/>
      <c r="C135" s="51"/>
      <c r="D135" s="51"/>
      <c r="E135" s="51"/>
      <c r="F135" s="95"/>
      <c r="G135" s="53"/>
      <c r="H135" s="95"/>
      <c r="I135" s="52"/>
      <c r="J135" s="58"/>
      <c r="K135" s="51" t="s">
        <v>57</v>
      </c>
      <c r="L135" s="58"/>
      <c r="M135" s="58"/>
    </row>
    <row r="136" spans="1:57" ht="13.8" thickBot="1" x14ac:dyDescent="0.3">
      <c r="B136" s="51"/>
      <c r="C136" s="51"/>
      <c r="D136" s="51"/>
      <c r="E136" s="51"/>
      <c r="F136" s="95"/>
      <c r="G136" s="53"/>
      <c r="H136" s="95"/>
      <c r="I136" s="52"/>
      <c r="J136" s="58"/>
      <c r="K136" s="51" t="s">
        <v>57</v>
      </c>
      <c r="L136" s="58"/>
      <c r="M136" s="58"/>
    </row>
    <row r="137" spans="1:57" s="5" customFormat="1" x14ac:dyDescent="0.25">
      <c r="A137" s="879"/>
      <c r="B137" s="195"/>
      <c r="C137" s="195" t="s">
        <v>54</v>
      </c>
      <c r="D137" s="195"/>
      <c r="E137" s="195"/>
      <c r="F137" s="196"/>
      <c r="G137" s="196"/>
      <c r="H137" s="196"/>
      <c r="I137" s="197"/>
      <c r="J137" s="195">
        <f>SUM(J128:J136)</f>
        <v>18</v>
      </c>
      <c r="K137" s="195" t="s">
        <v>57</v>
      </c>
      <c r="L137" s="195"/>
      <c r="M137" s="195"/>
      <c r="N137"/>
      <c r="O137"/>
      <c r="P137"/>
      <c r="Q137"/>
      <c r="R137"/>
      <c r="S137"/>
      <c r="T137"/>
      <c r="U137"/>
      <c r="AE137"/>
      <c r="AF137"/>
      <c r="AG137"/>
      <c r="AH137"/>
      <c r="AI137"/>
      <c r="AJ137"/>
      <c r="AK137"/>
      <c r="AL137"/>
      <c r="AM137"/>
      <c r="AN137"/>
      <c r="AO137"/>
      <c r="AP137"/>
      <c r="AQ137"/>
      <c r="AR137"/>
      <c r="AS137"/>
      <c r="AT137"/>
      <c r="AU137"/>
      <c r="AV137"/>
      <c r="AW137"/>
      <c r="AX137"/>
      <c r="AY137"/>
      <c r="AZ137"/>
      <c r="BA137"/>
      <c r="BB137"/>
      <c r="BC137"/>
      <c r="BD137"/>
      <c r="BE137"/>
    </row>
    <row r="138" spans="1:57" x14ac:dyDescent="0.25">
      <c r="B138" s="51"/>
      <c r="C138" s="51"/>
      <c r="D138" s="51"/>
      <c r="E138" s="51"/>
      <c r="F138" s="53"/>
      <c r="G138" s="53"/>
      <c r="H138" s="52"/>
      <c r="I138" s="52"/>
      <c r="J138" s="58"/>
      <c r="K138" s="51"/>
      <c r="L138" s="58"/>
      <c r="M138" s="58"/>
    </row>
    <row r="139" spans="1:57" ht="30" customHeight="1" x14ac:dyDescent="0.25">
      <c r="B139" s="13"/>
      <c r="C139" s="13"/>
      <c r="D139" s="13"/>
      <c r="E139" s="13"/>
      <c r="F139" s="42"/>
      <c r="G139" s="42"/>
      <c r="H139" s="12"/>
      <c r="I139" s="12"/>
      <c r="K139" s="13"/>
    </row>
    <row r="140" spans="1:57" ht="15.6" x14ac:dyDescent="0.3">
      <c r="B140" s="176" t="s">
        <v>604</v>
      </c>
      <c r="C140" s="177"/>
      <c r="D140" s="177"/>
      <c r="E140" s="177"/>
      <c r="F140" s="1067" t="s">
        <v>114</v>
      </c>
      <c r="G140" s="1067"/>
      <c r="H140" s="1067" t="s">
        <v>113</v>
      </c>
      <c r="I140" s="1067"/>
      <c r="J140" s="1067" t="s">
        <v>243</v>
      </c>
      <c r="K140" s="1067"/>
      <c r="L140" s="179"/>
      <c r="M140" s="179"/>
      <c r="N140" s="5"/>
      <c r="O140" s="5"/>
      <c r="P140" s="5"/>
      <c r="Q140" s="5"/>
      <c r="R140" s="5"/>
      <c r="S140" s="5"/>
      <c r="T140" s="5"/>
      <c r="U140" s="5"/>
    </row>
    <row r="141" spans="1:57" ht="13.8" thickBot="1" x14ac:dyDescent="0.3">
      <c r="B141" s="177"/>
      <c r="C141" s="177"/>
      <c r="D141" s="177"/>
      <c r="E141" s="177"/>
      <c r="F141" s="177"/>
      <c r="G141" s="177"/>
      <c r="H141" s="178"/>
      <c r="I141" s="178"/>
      <c r="J141" s="179"/>
      <c r="K141" s="179"/>
      <c r="L141" s="179"/>
      <c r="M141" s="179"/>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row>
    <row r="142" spans="1:57" ht="13.8" thickBot="1" x14ac:dyDescent="0.3">
      <c r="B142" s="177"/>
      <c r="C142" s="177" t="s">
        <v>292</v>
      </c>
      <c r="D142" s="179"/>
      <c r="E142" s="177"/>
      <c r="F142" s="74">
        <v>1</v>
      </c>
      <c r="G142" s="177" t="s">
        <v>7</v>
      </c>
      <c r="H142" s="77">
        <v>73</v>
      </c>
      <c r="I142" s="178" t="s">
        <v>57</v>
      </c>
      <c r="J142" s="180">
        <f t="shared" ref="J142:J144" si="18">F142*H142</f>
        <v>73</v>
      </c>
      <c r="K142" s="177" t="s">
        <v>57</v>
      </c>
      <c r="L142" s="179"/>
      <c r="M142" s="179"/>
    </row>
    <row r="143" spans="1:57" ht="13.8" thickBot="1" x14ac:dyDescent="0.3">
      <c r="B143" s="177"/>
      <c r="C143" s="177" t="s">
        <v>274</v>
      </c>
      <c r="D143" s="177"/>
      <c r="E143" s="177"/>
      <c r="F143" s="74"/>
      <c r="G143" s="177" t="s">
        <v>7</v>
      </c>
      <c r="H143" s="77"/>
      <c r="I143" s="178" t="s">
        <v>57</v>
      </c>
      <c r="J143" s="180">
        <f t="shared" si="18"/>
        <v>0</v>
      </c>
      <c r="K143" s="177" t="s">
        <v>57</v>
      </c>
      <c r="L143" s="179"/>
      <c r="M143" s="179"/>
    </row>
    <row r="144" spans="1:57" ht="13.8" thickBot="1" x14ac:dyDescent="0.3">
      <c r="B144" s="177"/>
      <c r="C144" s="177" t="s">
        <v>274</v>
      </c>
      <c r="D144" s="177"/>
      <c r="E144" s="177"/>
      <c r="F144" s="74"/>
      <c r="G144" s="177" t="s">
        <v>7</v>
      </c>
      <c r="H144" s="77"/>
      <c r="I144" s="178" t="s">
        <v>57</v>
      </c>
      <c r="J144" s="180">
        <f t="shared" si="18"/>
        <v>0</v>
      </c>
      <c r="K144" s="177" t="s">
        <v>57</v>
      </c>
      <c r="L144" s="179"/>
      <c r="M144" s="179"/>
    </row>
    <row r="145" spans="1:57" s="5" customFormat="1" x14ac:dyDescent="0.25">
      <c r="A145" s="879"/>
      <c r="B145" s="204"/>
      <c r="C145" s="204" t="s">
        <v>54</v>
      </c>
      <c r="D145" s="204"/>
      <c r="E145" s="204"/>
      <c r="F145" s="204"/>
      <c r="G145" s="204"/>
      <c r="H145" s="205"/>
      <c r="I145" s="205"/>
      <c r="J145" s="206">
        <f>SUM(J142:J144)</f>
        <v>73</v>
      </c>
      <c r="K145" s="204" t="s">
        <v>57</v>
      </c>
      <c r="L145" s="204"/>
      <c r="M145" s="204"/>
      <c r="N145"/>
      <c r="O145"/>
      <c r="P145"/>
      <c r="Q145"/>
      <c r="R145"/>
      <c r="S145"/>
      <c r="T145"/>
      <c r="U145"/>
      <c r="AE145"/>
      <c r="AF145"/>
      <c r="AG145"/>
      <c r="AH145"/>
      <c r="AI145"/>
      <c r="AJ145"/>
      <c r="AK145"/>
      <c r="AL145"/>
      <c r="AM145"/>
      <c r="AN145"/>
      <c r="AO145"/>
      <c r="AP145"/>
      <c r="AQ145"/>
      <c r="AR145"/>
      <c r="AS145"/>
      <c r="AT145"/>
      <c r="AU145"/>
      <c r="AV145"/>
      <c r="AW145"/>
      <c r="AX145"/>
      <c r="AY145"/>
      <c r="AZ145"/>
      <c r="BA145"/>
      <c r="BB145"/>
      <c r="BC145"/>
      <c r="BD145"/>
      <c r="BE145"/>
    </row>
    <row r="146" spans="1:57" x14ac:dyDescent="0.25">
      <c r="B146" s="177"/>
      <c r="C146" s="177"/>
      <c r="D146" s="177"/>
      <c r="E146" s="177"/>
      <c r="F146" s="177"/>
      <c r="G146" s="177"/>
      <c r="H146" s="178"/>
      <c r="I146" s="178"/>
      <c r="J146" s="180"/>
      <c r="K146" s="177"/>
      <c r="L146" s="179"/>
      <c r="M146" s="179"/>
    </row>
    <row r="147" spans="1:57" ht="33" customHeight="1" x14ac:dyDescent="0.25"/>
    <row r="148" spans="1:57" ht="16.2" thickBot="1" x14ac:dyDescent="0.35">
      <c r="B148" s="181" t="s">
        <v>605</v>
      </c>
      <c r="C148" s="182"/>
      <c r="D148" s="182"/>
      <c r="E148" s="183"/>
      <c r="F148" s="182"/>
      <c r="G148" s="184"/>
      <c r="H148" s="184"/>
      <c r="I148" s="182"/>
      <c r="J148" s="182"/>
      <c r="K148" s="185"/>
      <c r="L148" s="185"/>
      <c r="M148" s="185"/>
      <c r="N148" s="5"/>
      <c r="O148" s="5"/>
      <c r="P148" s="5"/>
      <c r="Q148" s="5"/>
      <c r="R148" s="5"/>
      <c r="S148" s="5"/>
      <c r="T148" s="5"/>
      <c r="U148" s="5"/>
    </row>
    <row r="149" spans="1:57" ht="13.8" thickBot="1" x14ac:dyDescent="0.3">
      <c r="B149" s="182"/>
      <c r="C149" s="182" t="s">
        <v>278</v>
      </c>
      <c r="D149" s="185"/>
      <c r="E149" s="186"/>
      <c r="F149" s="74">
        <v>0</v>
      </c>
      <c r="G149" s="187" t="s">
        <v>280</v>
      </c>
      <c r="H149" s="74">
        <v>1000</v>
      </c>
      <c r="I149" s="188" t="s">
        <v>279</v>
      </c>
      <c r="J149" s="185">
        <f>F149*H149</f>
        <v>0</v>
      </c>
      <c r="K149" s="188" t="s">
        <v>57</v>
      </c>
      <c r="L149" s="185"/>
      <c r="M149" s="185"/>
    </row>
    <row r="150" spans="1:57" ht="13.8" thickBot="1" x14ac:dyDescent="0.3">
      <c r="B150" s="182"/>
      <c r="C150" s="182" t="s">
        <v>281</v>
      </c>
      <c r="D150" s="188">
        <f>F186/2</f>
        <v>0</v>
      </c>
      <c r="E150" s="182" t="s">
        <v>282</v>
      </c>
      <c r="F150" s="74">
        <v>1.5</v>
      </c>
      <c r="G150" s="184" t="s">
        <v>257</v>
      </c>
      <c r="H150" s="74">
        <v>50</v>
      </c>
      <c r="I150" s="188" t="s">
        <v>256</v>
      </c>
      <c r="J150" s="185">
        <f t="shared" ref="J150:J154" si="19">F150*H150</f>
        <v>75</v>
      </c>
      <c r="K150" s="188" t="s">
        <v>57</v>
      </c>
      <c r="L150" s="185"/>
      <c r="M150" s="18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row>
    <row r="151" spans="1:57" ht="13.8" thickBot="1" x14ac:dyDescent="0.3">
      <c r="B151" s="182"/>
      <c r="C151" s="182" t="s">
        <v>283</v>
      </c>
      <c r="D151" s="188">
        <f>D150</f>
        <v>0</v>
      </c>
      <c r="E151" s="182" t="s">
        <v>282</v>
      </c>
      <c r="F151" s="74">
        <v>1</v>
      </c>
      <c r="G151" s="184" t="s">
        <v>206</v>
      </c>
      <c r="H151" s="74">
        <v>400</v>
      </c>
      <c r="I151" s="188" t="s">
        <v>212</v>
      </c>
      <c r="J151" s="185">
        <f t="shared" si="19"/>
        <v>400</v>
      </c>
      <c r="K151" s="188" t="s">
        <v>57</v>
      </c>
      <c r="L151" s="185"/>
      <c r="M151" s="185"/>
    </row>
    <row r="152" spans="1:57" ht="13.8" thickBot="1" x14ac:dyDescent="0.3">
      <c r="B152" s="182"/>
      <c r="C152" s="182" t="s">
        <v>284</v>
      </c>
      <c r="D152" s="185"/>
      <c r="E152" s="188"/>
      <c r="F152" s="74">
        <v>0</v>
      </c>
      <c r="G152" s="184" t="s">
        <v>257</v>
      </c>
      <c r="H152" s="74">
        <v>200</v>
      </c>
      <c r="I152" s="188" t="s">
        <v>256</v>
      </c>
      <c r="J152" s="185">
        <f t="shared" si="19"/>
        <v>0</v>
      </c>
      <c r="K152" s="188" t="s">
        <v>57</v>
      </c>
      <c r="L152" s="185"/>
      <c r="M152" s="185"/>
    </row>
    <row r="153" spans="1:57" ht="13.8" thickBot="1" x14ac:dyDescent="0.3">
      <c r="B153" s="182"/>
      <c r="C153" s="182" t="s">
        <v>285</v>
      </c>
      <c r="D153" s="185"/>
      <c r="E153" s="188"/>
      <c r="F153" s="74">
        <v>0</v>
      </c>
      <c r="G153" s="184" t="s">
        <v>257</v>
      </c>
      <c r="H153" s="74">
        <v>80</v>
      </c>
      <c r="I153" s="188" t="s">
        <v>256</v>
      </c>
      <c r="J153" s="185">
        <f t="shared" si="19"/>
        <v>0</v>
      </c>
      <c r="K153" s="188" t="s">
        <v>57</v>
      </c>
      <c r="L153" s="185"/>
      <c r="M153" s="185"/>
    </row>
    <row r="154" spans="1:57" ht="13.8" thickBot="1" x14ac:dyDescent="0.3">
      <c r="B154" s="185"/>
      <c r="C154" s="182" t="s">
        <v>286</v>
      </c>
      <c r="D154" s="185"/>
      <c r="E154" s="185"/>
      <c r="F154" s="74"/>
      <c r="G154" s="185"/>
      <c r="H154" s="74"/>
      <c r="I154" s="185"/>
      <c r="J154" s="185">
        <f t="shared" si="19"/>
        <v>0</v>
      </c>
      <c r="K154" s="188" t="s">
        <v>57</v>
      </c>
      <c r="L154" s="185"/>
      <c r="M154" s="185"/>
    </row>
    <row r="155" spans="1:57" s="5" customFormat="1" x14ac:dyDescent="0.25">
      <c r="A155" s="879"/>
      <c r="B155" s="207"/>
      <c r="C155" s="207" t="s">
        <v>54</v>
      </c>
      <c r="D155" s="207"/>
      <c r="E155" s="207"/>
      <c r="F155" s="207"/>
      <c r="G155" s="207"/>
      <c r="H155" s="207"/>
      <c r="I155" s="207"/>
      <c r="J155" s="207">
        <f>SUM(J149:J154)</f>
        <v>475</v>
      </c>
      <c r="K155" s="208" t="s">
        <v>57</v>
      </c>
      <c r="L155" s="207"/>
      <c r="M155" s="207"/>
      <c r="N155"/>
      <c r="O155" s="13"/>
      <c r="P155"/>
      <c r="Q155"/>
      <c r="R155"/>
      <c r="S155"/>
      <c r="T155"/>
      <c r="U155"/>
      <c r="AE155"/>
      <c r="AF155"/>
      <c r="AG155"/>
      <c r="AH155"/>
      <c r="AI155"/>
      <c r="AJ155"/>
      <c r="AK155"/>
      <c r="AL155"/>
      <c r="AM155"/>
      <c r="AN155"/>
      <c r="AO155"/>
      <c r="AP155"/>
      <c r="AQ155"/>
      <c r="AR155"/>
      <c r="AS155"/>
      <c r="AT155"/>
      <c r="AU155"/>
      <c r="AV155"/>
      <c r="AW155"/>
      <c r="AX155"/>
      <c r="AY155"/>
      <c r="AZ155"/>
      <c r="BA155"/>
      <c r="BB155"/>
      <c r="BC155"/>
      <c r="BD155"/>
      <c r="BE155"/>
    </row>
    <row r="156" spans="1:57" x14ac:dyDescent="0.25">
      <c r="B156" s="185"/>
      <c r="C156" s="185"/>
      <c r="D156" s="185"/>
      <c r="E156" s="185"/>
      <c r="F156" s="185"/>
      <c r="G156" s="185"/>
      <c r="H156" s="185"/>
      <c r="I156" s="185"/>
      <c r="J156" s="185"/>
      <c r="K156" s="185"/>
      <c r="L156" s="185"/>
      <c r="M156" s="185"/>
    </row>
    <row r="157" spans="1:57" ht="34.950000000000003" customHeight="1" x14ac:dyDescent="0.25"/>
    <row r="158" spans="1:57" ht="22.2" customHeight="1" x14ac:dyDescent="0.3">
      <c r="B158" s="88" t="s">
        <v>606</v>
      </c>
      <c r="C158" s="79"/>
      <c r="D158" s="79"/>
      <c r="E158" s="79"/>
      <c r="F158" s="79"/>
      <c r="G158" s="79"/>
      <c r="H158" s="79"/>
      <c r="I158" s="79"/>
      <c r="J158" s="79"/>
      <c r="K158" s="79"/>
      <c r="L158" s="79"/>
      <c r="M158" s="79"/>
      <c r="N158" s="5"/>
      <c r="O158" s="5"/>
      <c r="P158" s="5"/>
      <c r="Q158" s="5"/>
      <c r="R158" s="5"/>
      <c r="S158" s="5"/>
      <c r="T158" s="5"/>
      <c r="U158" s="5"/>
    </row>
    <row r="159" spans="1:57" ht="22.2" customHeight="1" x14ac:dyDescent="0.3">
      <c r="B159" s="88"/>
      <c r="C159" s="79"/>
      <c r="D159" s="79"/>
      <c r="E159" s="79"/>
      <c r="F159" s="79"/>
      <c r="G159" s="79"/>
      <c r="H159" s="79"/>
      <c r="I159" s="79"/>
      <c r="J159" s="79"/>
      <c r="K159" s="79"/>
      <c r="L159" s="79"/>
      <c r="M159" s="79"/>
    </row>
    <row r="160" spans="1:57" ht="100.95" customHeight="1" thickBot="1" x14ac:dyDescent="0.3">
      <c r="B160" s="1096" t="s">
        <v>607</v>
      </c>
      <c r="C160" s="1096"/>
      <c r="D160" s="1096"/>
      <c r="E160" s="1096"/>
      <c r="F160" s="1096"/>
      <c r="G160" s="1096"/>
      <c r="H160" s="1096"/>
      <c r="I160" s="1096"/>
      <c r="J160" s="1096"/>
      <c r="K160" s="1096"/>
      <c r="L160" s="1096"/>
      <c r="M160" s="1096"/>
    </row>
    <row r="161" spans="2:57" ht="28.2" customHeight="1" thickBot="1" x14ac:dyDescent="0.3">
      <c r="B161" s="1117" t="s">
        <v>374</v>
      </c>
      <c r="C161" s="1118"/>
      <c r="D161" s="1118"/>
      <c r="E161" s="1119"/>
      <c r="F161" s="83"/>
      <c r="G161" s="83"/>
      <c r="H161" s="84"/>
      <c r="I161" s="84"/>
      <c r="J161" s="83"/>
      <c r="K161" s="83"/>
      <c r="L161" s="84"/>
      <c r="M161" s="84"/>
    </row>
    <row r="162" spans="2:57" ht="22.2" customHeight="1" x14ac:dyDescent="0.3">
      <c r="B162" s="88"/>
      <c r="C162" s="79"/>
      <c r="D162" s="79"/>
      <c r="E162" s="83"/>
      <c r="F162" s="83"/>
      <c r="G162" s="83"/>
      <c r="H162" s="84"/>
      <c r="I162" s="84"/>
      <c r="J162" s="83"/>
      <c r="K162" s="83"/>
      <c r="L162" s="84"/>
      <c r="M162" s="84"/>
    </row>
    <row r="163" spans="2:57" ht="22.2" customHeight="1" x14ac:dyDescent="0.3">
      <c r="B163" s="88"/>
      <c r="C163" s="79"/>
      <c r="D163" s="79"/>
      <c r="E163" s="1069" t="s">
        <v>290</v>
      </c>
      <c r="F163" s="1069"/>
      <c r="G163" s="1069"/>
      <c r="H163" s="1070" t="s">
        <v>113</v>
      </c>
      <c r="I163" s="1070"/>
      <c r="J163" s="1069" t="s">
        <v>291</v>
      </c>
      <c r="K163" s="1069"/>
      <c r="L163" s="1070" t="s">
        <v>113</v>
      </c>
      <c r="M163" s="1070"/>
    </row>
    <row r="164" spans="2:57" ht="10.95" customHeight="1" thickBot="1" x14ac:dyDescent="0.3">
      <c r="B164" s="78"/>
      <c r="C164" s="79"/>
      <c r="D164" s="79"/>
      <c r="E164" s="79"/>
      <c r="F164" s="79"/>
      <c r="G164" s="79"/>
      <c r="H164" s="79"/>
      <c r="I164" s="79"/>
      <c r="J164" s="79"/>
      <c r="K164" s="79"/>
      <c r="L164" s="79"/>
      <c r="M164" s="79"/>
    </row>
    <row r="165" spans="2:57" ht="13.8" thickBot="1" x14ac:dyDescent="0.3">
      <c r="B165" s="79"/>
      <c r="C165" s="80" t="str">
        <f>AE7</f>
        <v>Glyfosatbehandling under föregående höst</v>
      </c>
      <c r="D165" s="79"/>
      <c r="E165" s="79"/>
      <c r="F165" s="824">
        <f>BD7</f>
        <v>2</v>
      </c>
      <c r="G165" s="82" t="s">
        <v>293</v>
      </c>
      <c r="H165" s="93">
        <v>14.5</v>
      </c>
      <c r="I165" s="82" t="s">
        <v>294</v>
      </c>
      <c r="J165" s="79"/>
      <c r="K165" s="82" t="s">
        <v>293</v>
      </c>
      <c r="L165" s="93">
        <v>14.5</v>
      </c>
      <c r="M165" s="82" t="s">
        <v>294</v>
      </c>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row>
    <row r="166" spans="2:57" x14ac:dyDescent="0.25">
      <c r="B166" s="79"/>
      <c r="C166" s="80" t="str">
        <f t="shared" ref="C166:C183" si="20">AE8</f>
        <v>Inköp av plantor och andra produktionsinsatser under föregående höst</v>
      </c>
      <c r="D166" s="79"/>
      <c r="E166" s="79"/>
      <c r="F166" s="824">
        <f t="shared" ref="F166:F183" si="21">BD8</f>
        <v>4</v>
      </c>
      <c r="G166" s="82" t="s">
        <v>293</v>
      </c>
      <c r="H166" s="90">
        <f>$H$165</f>
        <v>14.5</v>
      </c>
      <c r="I166" s="82" t="s">
        <v>294</v>
      </c>
      <c r="J166" s="79"/>
      <c r="K166" s="82" t="s">
        <v>293</v>
      </c>
      <c r="L166" s="90">
        <f>$L$165</f>
        <v>14.5</v>
      </c>
      <c r="M166" s="82" t="s">
        <v>294</v>
      </c>
    </row>
    <row r="167" spans="2:57" x14ac:dyDescent="0.25">
      <c r="B167" s="79"/>
      <c r="C167" s="80" t="str">
        <f t="shared" si="20"/>
        <v>Stenplockning</v>
      </c>
      <c r="D167" s="79"/>
      <c r="E167" s="79"/>
      <c r="F167" s="824">
        <f t="shared" si="21"/>
        <v>4</v>
      </c>
      <c r="G167" s="82" t="s">
        <v>293</v>
      </c>
      <c r="H167" s="90">
        <f t="shared" ref="H167:H183" si="22">$H$165</f>
        <v>14.5</v>
      </c>
      <c r="I167" s="82" t="s">
        <v>294</v>
      </c>
      <c r="J167" s="79"/>
      <c r="K167" s="82" t="s">
        <v>293</v>
      </c>
      <c r="L167" s="90">
        <f t="shared" ref="L167:L183" si="23">$L$165</f>
        <v>14.5</v>
      </c>
      <c r="M167" s="82" t="s">
        <v>294</v>
      </c>
    </row>
    <row r="168" spans="2:57" x14ac:dyDescent="0.25">
      <c r="B168" s="79"/>
      <c r="C168" s="80" t="str">
        <f t="shared" si="20"/>
        <v>Jorbearbetning</v>
      </c>
      <c r="D168" s="79"/>
      <c r="E168" s="79"/>
      <c r="F168" s="824">
        <f t="shared" si="21"/>
        <v>3</v>
      </c>
      <c r="G168" s="82" t="s">
        <v>293</v>
      </c>
      <c r="H168" s="90">
        <f t="shared" si="22"/>
        <v>14.5</v>
      </c>
      <c r="I168" s="82" t="s">
        <v>294</v>
      </c>
      <c r="J168" s="79"/>
      <c r="K168" s="82" t="s">
        <v>293</v>
      </c>
      <c r="L168" s="90">
        <f t="shared" si="23"/>
        <v>14.5</v>
      </c>
      <c r="M168" s="82" t="s">
        <v>294</v>
      </c>
    </row>
    <row r="169" spans="2:57" x14ac:dyDescent="0.25">
      <c r="B169" s="79"/>
      <c r="C169" s="80" t="str">
        <f t="shared" si="20"/>
        <v>Grundgödsling och grundkalkning</v>
      </c>
      <c r="D169" s="79"/>
      <c r="E169" s="79"/>
      <c r="F169" s="824">
        <f t="shared" si="21"/>
        <v>2</v>
      </c>
      <c r="G169" s="82" t="s">
        <v>293</v>
      </c>
      <c r="H169" s="90">
        <f t="shared" si="22"/>
        <v>14.5</v>
      </c>
      <c r="I169" s="82" t="s">
        <v>294</v>
      </c>
      <c r="J169" s="79"/>
      <c r="K169" s="82" t="s">
        <v>293</v>
      </c>
      <c r="L169" s="90">
        <f t="shared" si="23"/>
        <v>14.5</v>
      </c>
      <c r="M169" s="82" t="s">
        <v>294</v>
      </c>
    </row>
    <row r="170" spans="2:57" x14ac:dyDescent="0.25">
      <c r="B170" s="79"/>
      <c r="C170" s="80" t="str">
        <f t="shared" si="20"/>
        <v>Installation av bevattningssystem</v>
      </c>
      <c r="D170" s="79"/>
      <c r="E170" s="79"/>
      <c r="F170" s="824">
        <f t="shared" si="21"/>
        <v>4</v>
      </c>
      <c r="G170" s="82" t="s">
        <v>293</v>
      </c>
      <c r="H170" s="90">
        <f t="shared" si="22"/>
        <v>14.5</v>
      </c>
      <c r="I170" s="82" t="s">
        <v>294</v>
      </c>
      <c r="J170" s="79"/>
      <c r="K170" s="82" t="s">
        <v>293</v>
      </c>
      <c r="L170" s="90">
        <f t="shared" si="23"/>
        <v>14.5</v>
      </c>
      <c r="M170" s="82" t="s">
        <v>294</v>
      </c>
    </row>
    <row r="171" spans="2:57" x14ac:dyDescent="0.25">
      <c r="B171" s="79"/>
      <c r="C171" s="80" t="str">
        <f t="shared" si="20"/>
        <v>Imottagning och skötsel av plantorna</v>
      </c>
      <c r="D171" s="79"/>
      <c r="E171" s="79"/>
      <c r="F171" s="824">
        <f t="shared" si="21"/>
        <v>3</v>
      </c>
      <c r="G171" s="82" t="s">
        <v>293</v>
      </c>
      <c r="H171" s="90">
        <f t="shared" si="22"/>
        <v>14.5</v>
      </c>
      <c r="I171" s="82" t="s">
        <v>294</v>
      </c>
      <c r="J171" s="79"/>
      <c r="K171" s="82" t="s">
        <v>293</v>
      </c>
      <c r="L171" s="90">
        <f t="shared" si="23"/>
        <v>14.5</v>
      </c>
      <c r="M171" s="82" t="s">
        <v>294</v>
      </c>
    </row>
    <row r="172" spans="2:57" x14ac:dyDescent="0.25">
      <c r="B172" s="79"/>
      <c r="C172" s="80" t="str">
        <f t="shared" si="20"/>
        <v>Bänkläggning och plantering</v>
      </c>
      <c r="D172" s="79"/>
      <c r="E172" s="79"/>
      <c r="F172" s="824">
        <f>BD14/2</f>
        <v>20</v>
      </c>
      <c r="G172" s="82" t="s">
        <v>293</v>
      </c>
      <c r="H172" s="90">
        <f t="shared" si="22"/>
        <v>14.5</v>
      </c>
      <c r="I172" s="82" t="s">
        <v>294</v>
      </c>
      <c r="J172" s="79">
        <f>BD14/2</f>
        <v>20</v>
      </c>
      <c r="K172" s="82" t="s">
        <v>293</v>
      </c>
      <c r="L172" s="90">
        <f t="shared" si="23"/>
        <v>14.5</v>
      </c>
      <c r="M172" s="82" t="s">
        <v>294</v>
      </c>
    </row>
    <row r="173" spans="2:57" x14ac:dyDescent="0.25">
      <c r="B173" s="79"/>
      <c r="C173" s="80" t="str">
        <f t="shared" si="20"/>
        <v xml:space="preserve">Sådd och skötsel av radmellanrums gräs </v>
      </c>
      <c r="D173" s="79"/>
      <c r="E173" s="79"/>
      <c r="F173" s="824">
        <f t="shared" si="21"/>
        <v>12</v>
      </c>
      <c r="G173" s="82" t="s">
        <v>293</v>
      </c>
      <c r="H173" s="90">
        <f t="shared" si="22"/>
        <v>14.5</v>
      </c>
      <c r="I173" s="82" t="s">
        <v>294</v>
      </c>
      <c r="J173" s="79"/>
      <c r="K173" s="82" t="s">
        <v>293</v>
      </c>
      <c r="L173" s="90">
        <f t="shared" si="23"/>
        <v>14.5</v>
      </c>
      <c r="M173" s="82" t="s">
        <v>294</v>
      </c>
    </row>
    <row r="174" spans="2:57" x14ac:dyDescent="0.25">
      <c r="B174" s="79"/>
      <c r="C174" s="80" t="str">
        <f t="shared" si="20"/>
        <v>Installation av bevattningssystem</v>
      </c>
      <c r="D174" s="79"/>
      <c r="E174" s="79"/>
      <c r="F174" s="824">
        <f t="shared" si="21"/>
        <v>4</v>
      </c>
      <c r="G174" s="82" t="s">
        <v>293</v>
      </c>
      <c r="H174" s="90">
        <f t="shared" si="22"/>
        <v>14.5</v>
      </c>
      <c r="I174" s="82" t="s">
        <v>294</v>
      </c>
      <c r="J174" s="79"/>
      <c r="K174" s="82" t="s">
        <v>293</v>
      </c>
      <c r="L174" s="90">
        <f t="shared" si="23"/>
        <v>14.5</v>
      </c>
      <c r="M174" s="82" t="s">
        <v>294</v>
      </c>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row>
    <row r="175" spans="2:57" x14ac:dyDescent="0.25">
      <c r="B175" s="79"/>
      <c r="C175" s="80" t="str">
        <f t="shared" si="20"/>
        <v>Bevattning</v>
      </c>
      <c r="D175" s="79"/>
      <c r="E175" s="79"/>
      <c r="F175" s="824">
        <f t="shared" si="21"/>
        <v>12</v>
      </c>
      <c r="G175" s="82" t="s">
        <v>293</v>
      </c>
      <c r="H175" s="90">
        <f t="shared" si="22"/>
        <v>14.5</v>
      </c>
      <c r="I175" s="82" t="s">
        <v>294</v>
      </c>
      <c r="J175" s="79"/>
      <c r="K175" s="82" t="s">
        <v>293</v>
      </c>
      <c r="L175" s="90">
        <f t="shared" si="23"/>
        <v>14.5</v>
      </c>
      <c r="M175" s="82" t="s">
        <v>294</v>
      </c>
    </row>
    <row r="176" spans="2:57" x14ac:dyDescent="0.25">
      <c r="B176" s="79"/>
      <c r="C176" s="80" t="str">
        <f t="shared" si="20"/>
        <v>Höstservice av bevattningssystem</v>
      </c>
      <c r="D176" s="79"/>
      <c r="E176" s="79"/>
      <c r="F176" s="824">
        <f t="shared" si="21"/>
        <v>4</v>
      </c>
      <c r="G176" s="82" t="s">
        <v>293</v>
      </c>
      <c r="H176" s="90">
        <f t="shared" si="22"/>
        <v>14.5</v>
      </c>
      <c r="I176" s="82" t="s">
        <v>294</v>
      </c>
      <c r="J176" s="79"/>
      <c r="K176" s="82" t="s">
        <v>293</v>
      </c>
      <c r="L176" s="90">
        <f t="shared" si="23"/>
        <v>14.5</v>
      </c>
      <c r="M176" s="82" t="s">
        <v>294</v>
      </c>
    </row>
    <row r="177" spans="1:57" x14ac:dyDescent="0.25">
      <c r="B177" s="79"/>
      <c r="C177" s="80" t="str">
        <f t="shared" si="20"/>
        <v>Växtskydd, ogräs</v>
      </c>
      <c r="D177" s="79"/>
      <c r="E177" s="79"/>
      <c r="F177" s="824">
        <f t="shared" si="21"/>
        <v>6</v>
      </c>
      <c r="G177" s="82" t="s">
        <v>293</v>
      </c>
      <c r="H177" s="90">
        <f t="shared" si="22"/>
        <v>14.5</v>
      </c>
      <c r="I177" s="82" t="s">
        <v>294</v>
      </c>
      <c r="J177" s="79"/>
      <c r="K177" s="82" t="s">
        <v>293</v>
      </c>
      <c r="L177" s="90">
        <f t="shared" si="23"/>
        <v>14.5</v>
      </c>
      <c r="M177" s="82" t="s">
        <v>294</v>
      </c>
    </row>
    <row r="178" spans="1:57" x14ac:dyDescent="0.25">
      <c r="B178" s="79"/>
      <c r="C178" s="80" t="str">
        <f t="shared" si="20"/>
        <v>Ogräsrensning</v>
      </c>
      <c r="D178" s="79"/>
      <c r="E178" s="79"/>
      <c r="F178" s="824"/>
      <c r="G178" s="82" t="s">
        <v>293</v>
      </c>
      <c r="H178" s="90">
        <f t="shared" si="22"/>
        <v>14.5</v>
      </c>
      <c r="I178" s="82" t="s">
        <v>294</v>
      </c>
      <c r="J178" s="824">
        <f>BD20</f>
        <v>40</v>
      </c>
      <c r="K178" s="82" t="s">
        <v>293</v>
      </c>
      <c r="L178" s="90">
        <f t="shared" si="23"/>
        <v>14.5</v>
      </c>
      <c r="M178" s="82" t="s">
        <v>294</v>
      </c>
    </row>
    <row r="179" spans="1:57" x14ac:dyDescent="0.25">
      <c r="B179" s="79"/>
      <c r="C179" s="80" t="str">
        <f t="shared" si="20"/>
        <v>Borttagning av revor</v>
      </c>
      <c r="D179" s="79"/>
      <c r="E179" s="79"/>
      <c r="F179" s="824"/>
      <c r="G179" s="82" t="s">
        <v>293</v>
      </c>
      <c r="H179" s="90">
        <f t="shared" si="22"/>
        <v>14.5</v>
      </c>
      <c r="I179" s="82" t="s">
        <v>294</v>
      </c>
      <c r="J179" s="824">
        <f>BD21</f>
        <v>40</v>
      </c>
      <c r="K179" s="82" t="s">
        <v>293</v>
      </c>
      <c r="L179" s="90">
        <f t="shared" si="23"/>
        <v>14.5</v>
      </c>
      <c r="M179" s="82" t="s">
        <v>294</v>
      </c>
    </row>
    <row r="180" spans="1:57" x14ac:dyDescent="0.25">
      <c r="B180" s="79"/>
      <c r="C180" s="80" t="str">
        <f t="shared" si="20"/>
        <v>Vinterfiberduk borttagning</v>
      </c>
      <c r="D180" s="79"/>
      <c r="E180" s="79"/>
      <c r="F180" s="824">
        <f t="shared" si="21"/>
        <v>4</v>
      </c>
      <c r="G180" s="82" t="s">
        <v>293</v>
      </c>
      <c r="H180" s="90">
        <f t="shared" si="22"/>
        <v>14.5</v>
      </c>
      <c r="I180" s="82" t="s">
        <v>294</v>
      </c>
      <c r="J180" s="79"/>
      <c r="K180" s="82" t="s">
        <v>293</v>
      </c>
      <c r="L180" s="90">
        <f t="shared" si="23"/>
        <v>14.5</v>
      </c>
      <c r="M180" s="82" t="s">
        <v>294</v>
      </c>
    </row>
    <row r="181" spans="1:57" x14ac:dyDescent="0.25">
      <c r="B181" s="79"/>
      <c r="C181" s="80" t="str">
        <f t="shared" si="20"/>
        <v>Arbetsmoment X</v>
      </c>
      <c r="D181" s="79"/>
      <c r="E181" s="79"/>
      <c r="F181" s="824">
        <f t="shared" si="21"/>
        <v>0</v>
      </c>
      <c r="G181" s="82" t="s">
        <v>293</v>
      </c>
      <c r="H181" s="90">
        <f t="shared" si="22"/>
        <v>14.5</v>
      </c>
      <c r="I181" s="82" t="s">
        <v>294</v>
      </c>
      <c r="J181" s="79"/>
      <c r="K181" s="82" t="s">
        <v>293</v>
      </c>
      <c r="L181" s="90">
        <f t="shared" si="23"/>
        <v>14.5</v>
      </c>
      <c r="M181" s="82" t="s">
        <v>294</v>
      </c>
    </row>
    <row r="182" spans="1:57" x14ac:dyDescent="0.25">
      <c r="B182" s="79"/>
      <c r="C182" s="80" t="str">
        <f t="shared" si="20"/>
        <v>Arbetsmoment X</v>
      </c>
      <c r="D182" s="79"/>
      <c r="E182" s="79"/>
      <c r="F182" s="824">
        <f t="shared" si="21"/>
        <v>0</v>
      </c>
      <c r="G182" s="82" t="s">
        <v>293</v>
      </c>
      <c r="H182" s="90">
        <f t="shared" si="22"/>
        <v>14.5</v>
      </c>
      <c r="I182" s="82" t="s">
        <v>294</v>
      </c>
      <c r="J182" s="79"/>
      <c r="K182" s="82" t="s">
        <v>293</v>
      </c>
      <c r="L182" s="90">
        <f t="shared" si="23"/>
        <v>14.5</v>
      </c>
      <c r="M182" s="82" t="s">
        <v>294</v>
      </c>
    </row>
    <row r="183" spans="1:57" ht="13.8" thickBot="1" x14ac:dyDescent="0.3">
      <c r="B183" s="79"/>
      <c r="C183" s="80" t="str">
        <f t="shared" si="20"/>
        <v>Arbetsmoment X</v>
      </c>
      <c r="D183" s="79"/>
      <c r="E183" s="79"/>
      <c r="F183" s="824">
        <f t="shared" si="21"/>
        <v>0</v>
      </c>
      <c r="G183" s="82" t="s">
        <v>293</v>
      </c>
      <c r="H183" s="90">
        <f t="shared" si="22"/>
        <v>14.5</v>
      </c>
      <c r="I183" s="82" t="s">
        <v>294</v>
      </c>
      <c r="J183" s="79"/>
      <c r="K183" s="82" t="s">
        <v>293</v>
      </c>
      <c r="L183" s="90">
        <f t="shared" si="23"/>
        <v>14.5</v>
      </c>
      <c r="M183" s="82" t="s">
        <v>294</v>
      </c>
    </row>
    <row r="184" spans="1:57" ht="13.8" thickBot="1" x14ac:dyDescent="0.3">
      <c r="B184" s="79"/>
      <c r="C184" s="80" t="s">
        <v>608</v>
      </c>
      <c r="D184" s="79"/>
      <c r="E184" s="79"/>
      <c r="F184" s="79"/>
      <c r="G184" s="82"/>
      <c r="H184" s="90"/>
      <c r="I184" s="82"/>
      <c r="J184" s="79">
        <f>'Gårdens info'!U21*'Gårdens info'!U20/('Gårdens info'!U20+'Gårdens info'!Y20)*0.9</f>
        <v>540</v>
      </c>
      <c r="K184" s="82" t="s">
        <v>8</v>
      </c>
      <c r="L184" s="93">
        <v>1.5</v>
      </c>
      <c r="M184" s="82" t="s">
        <v>206</v>
      </c>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row>
    <row r="185" spans="1:57" x14ac:dyDescent="0.25">
      <c r="B185" s="79"/>
      <c r="C185" s="811" t="s">
        <v>54</v>
      </c>
      <c r="D185" s="812"/>
      <c r="E185" s="812"/>
      <c r="F185" s="838">
        <f>SUM(F165:F183)</f>
        <v>84</v>
      </c>
      <c r="G185" s="812" t="s">
        <v>293</v>
      </c>
      <c r="H185" s="865">
        <f>F185*H165</f>
        <v>1218</v>
      </c>
      <c r="I185" s="812" t="s">
        <v>57</v>
      </c>
      <c r="J185" s="838">
        <f>SUM(J165:J183)</f>
        <v>100</v>
      </c>
      <c r="K185" s="812" t="s">
        <v>293</v>
      </c>
      <c r="L185" s="865">
        <f>J185*L165+J184*L184</f>
        <v>2260</v>
      </c>
      <c r="M185" s="812" t="s">
        <v>57</v>
      </c>
    </row>
    <row r="186" spans="1:57" s="5" customFormat="1" x14ac:dyDescent="0.25">
      <c r="A186" s="879"/>
      <c r="B186" s="209"/>
      <c r="C186" s="210"/>
      <c r="D186" s="211"/>
      <c r="E186" s="211"/>
      <c r="F186" s="212"/>
      <c r="G186" s="209"/>
      <c r="H186" s="213"/>
      <c r="I186" s="209"/>
      <c r="J186" s="212"/>
      <c r="K186" s="209"/>
      <c r="L186" s="213"/>
      <c r="M186" s="209"/>
      <c r="N186"/>
      <c r="O186"/>
      <c r="P186"/>
      <c r="Q186"/>
      <c r="R186"/>
      <c r="S186"/>
      <c r="T186"/>
      <c r="U186"/>
      <c r="AE186"/>
      <c r="AF186"/>
      <c r="AG186"/>
      <c r="AH186"/>
      <c r="AI186"/>
      <c r="AJ186"/>
      <c r="AK186"/>
      <c r="AL186"/>
      <c r="AM186"/>
      <c r="AN186"/>
      <c r="AO186"/>
      <c r="AP186"/>
      <c r="AQ186"/>
      <c r="AR186"/>
      <c r="AS186"/>
      <c r="AT186"/>
      <c r="AU186"/>
      <c r="AV186"/>
      <c r="AW186"/>
      <c r="AX186"/>
      <c r="AY186"/>
      <c r="AZ186"/>
      <c r="BA186"/>
      <c r="BB186"/>
      <c r="BC186"/>
      <c r="BD186"/>
      <c r="BE186"/>
    </row>
    <row r="187" spans="1:57" ht="57" customHeight="1" thickBot="1" x14ac:dyDescent="0.3"/>
    <row r="188" spans="1:57" ht="21" customHeight="1" thickBot="1" x14ac:dyDescent="0.45">
      <c r="B188" s="1078" t="s">
        <v>609</v>
      </c>
      <c r="C188" s="1079"/>
      <c r="D188" s="1079"/>
      <c r="E188" s="1080"/>
      <c r="L188" s="1099" t="s">
        <v>241</v>
      </c>
      <c r="M188" s="1099"/>
    </row>
    <row r="189" spans="1:57" x14ac:dyDescent="0.25">
      <c r="N189" s="5"/>
      <c r="O189" s="5"/>
      <c r="P189" s="5"/>
      <c r="Q189" s="5"/>
      <c r="R189" s="5"/>
      <c r="S189" s="5"/>
      <c r="T189" s="5"/>
      <c r="U189" s="5"/>
    </row>
    <row r="190" spans="1:57" ht="15.6" x14ac:dyDescent="0.3">
      <c r="B190" s="96" t="s">
        <v>610</v>
      </c>
      <c r="C190" s="97"/>
      <c r="D190" s="97"/>
      <c r="E190" s="97"/>
      <c r="F190" s="1074" t="s">
        <v>114</v>
      </c>
      <c r="G190" s="1074"/>
      <c r="H190" s="1074" t="s">
        <v>113</v>
      </c>
      <c r="I190" s="1074"/>
      <c r="J190" s="1074" t="s">
        <v>243</v>
      </c>
      <c r="K190" s="1074"/>
      <c r="L190" s="99"/>
      <c r="M190" s="99"/>
    </row>
    <row r="191" spans="1:57" ht="13.8" thickBot="1" x14ac:dyDescent="0.3">
      <c r="B191" s="97"/>
      <c r="C191" s="97"/>
      <c r="D191" s="97"/>
      <c r="E191" s="97"/>
      <c r="F191" s="97"/>
      <c r="G191" s="97"/>
      <c r="H191" s="98"/>
      <c r="I191" s="98"/>
      <c r="J191" s="99"/>
      <c r="K191" s="99"/>
      <c r="L191" s="99"/>
      <c r="M191" s="99"/>
    </row>
    <row r="192" spans="1:57" ht="13.8" thickBot="1" x14ac:dyDescent="0.3">
      <c r="B192" s="97"/>
      <c r="C192" s="97" t="s">
        <v>611</v>
      </c>
      <c r="D192" s="99"/>
      <c r="E192" s="97"/>
      <c r="F192" s="94">
        <v>1</v>
      </c>
      <c r="G192" s="97" t="s">
        <v>212</v>
      </c>
      <c r="H192" s="77">
        <v>600</v>
      </c>
      <c r="I192" s="98" t="s">
        <v>206</v>
      </c>
      <c r="J192" s="100">
        <f>F192*H192</f>
        <v>600</v>
      </c>
      <c r="K192" s="97" t="s">
        <v>57</v>
      </c>
      <c r="L192" s="99"/>
      <c r="M192" s="99"/>
    </row>
    <row r="193" spans="1:57" ht="13.8" thickBot="1" x14ac:dyDescent="0.3">
      <c r="B193" s="97"/>
      <c r="C193" s="97" t="s">
        <v>612</v>
      </c>
      <c r="D193" s="99"/>
      <c r="E193" s="97"/>
      <c r="F193" s="94">
        <v>0</v>
      </c>
      <c r="G193" s="97" t="s">
        <v>212</v>
      </c>
      <c r="H193" s="77">
        <v>2.1</v>
      </c>
      <c r="I193" s="98" t="s">
        <v>206</v>
      </c>
      <c r="J193" s="100">
        <f t="shared" ref="J193:J197" si="24">F193*H193</f>
        <v>0</v>
      </c>
      <c r="K193" s="97" t="s">
        <v>57</v>
      </c>
      <c r="L193" s="99"/>
      <c r="M193" s="99"/>
    </row>
    <row r="194" spans="1:57" ht="13.8" thickBot="1" x14ac:dyDescent="0.3">
      <c r="B194" s="97"/>
      <c r="C194" s="97" t="s">
        <v>251</v>
      </c>
      <c r="D194" s="99"/>
      <c r="E194" s="97"/>
      <c r="F194" s="74"/>
      <c r="G194" s="97" t="s">
        <v>212</v>
      </c>
      <c r="H194" s="77"/>
      <c r="I194" s="98" t="s">
        <v>206</v>
      </c>
      <c r="J194" s="100">
        <f t="shared" si="24"/>
        <v>0</v>
      </c>
      <c r="K194" s="97" t="s">
        <v>57</v>
      </c>
      <c r="L194" s="99"/>
      <c r="M194" s="99"/>
    </row>
    <row r="195" spans="1:57" ht="13.8" thickBot="1" x14ac:dyDescent="0.3">
      <c r="B195" s="97"/>
      <c r="C195" s="97" t="s">
        <v>251</v>
      </c>
      <c r="D195" s="99"/>
      <c r="E195" s="97"/>
      <c r="F195" s="74"/>
      <c r="G195" s="97" t="s">
        <v>212</v>
      </c>
      <c r="H195" s="77"/>
      <c r="I195" s="98" t="s">
        <v>206</v>
      </c>
      <c r="J195" s="100">
        <f t="shared" si="24"/>
        <v>0</v>
      </c>
      <c r="K195" s="97" t="s">
        <v>57</v>
      </c>
      <c r="L195" s="99"/>
      <c r="M195" s="99"/>
    </row>
    <row r="196" spans="1:57" ht="13.8" thickBot="1" x14ac:dyDescent="0.3">
      <c r="B196" s="97"/>
      <c r="C196" s="97" t="s">
        <v>251</v>
      </c>
      <c r="D196" s="97"/>
      <c r="E196" s="97"/>
      <c r="F196" s="74"/>
      <c r="G196" s="97" t="s">
        <v>212</v>
      </c>
      <c r="H196" s="77"/>
      <c r="I196" s="98" t="s">
        <v>206</v>
      </c>
      <c r="J196" s="100">
        <f t="shared" si="24"/>
        <v>0</v>
      </c>
      <c r="K196" s="97" t="s">
        <v>57</v>
      </c>
      <c r="L196" s="99"/>
      <c r="M196" s="99"/>
    </row>
    <row r="197" spans="1:57" ht="13.8" thickBot="1" x14ac:dyDescent="0.3">
      <c r="B197" s="97"/>
      <c r="C197" s="97" t="s">
        <v>251</v>
      </c>
      <c r="D197" s="97"/>
      <c r="E197" s="97"/>
      <c r="F197" s="74"/>
      <c r="G197" s="97" t="s">
        <v>212</v>
      </c>
      <c r="H197" s="77"/>
      <c r="I197" s="98" t="s">
        <v>206</v>
      </c>
      <c r="J197" s="100">
        <f t="shared" si="24"/>
        <v>0</v>
      </c>
      <c r="K197" s="97" t="s">
        <v>57</v>
      </c>
      <c r="L197" s="99"/>
      <c r="M197" s="99"/>
    </row>
    <row r="198" spans="1:57" s="5" customFormat="1" x14ac:dyDescent="0.25">
      <c r="A198" s="879"/>
      <c r="B198" s="214"/>
      <c r="C198" s="214" t="s">
        <v>54</v>
      </c>
      <c r="D198" s="214"/>
      <c r="E198" s="214"/>
      <c r="F198" s="214"/>
      <c r="G198" s="214"/>
      <c r="H198" s="214"/>
      <c r="I198" s="215"/>
      <c r="J198" s="216">
        <f>SUM(J192:J197)</f>
        <v>600</v>
      </c>
      <c r="K198" s="214" t="s">
        <v>57</v>
      </c>
      <c r="L198" s="214"/>
      <c r="M198" s="214"/>
      <c r="N198"/>
      <c r="O198"/>
      <c r="P198"/>
      <c r="Q198"/>
      <c r="R198"/>
      <c r="S198"/>
      <c r="T198"/>
      <c r="U198"/>
      <c r="AE198"/>
      <c r="AF198"/>
      <c r="AG198"/>
      <c r="AH198"/>
      <c r="AI198"/>
      <c r="AJ198"/>
      <c r="AK198"/>
      <c r="AL198"/>
      <c r="AM198"/>
      <c r="AN198"/>
      <c r="AO198"/>
      <c r="AP198"/>
      <c r="AQ198"/>
      <c r="AR198"/>
      <c r="AS198"/>
      <c r="AT198"/>
      <c r="AU198"/>
      <c r="AV198"/>
      <c r="AW198"/>
      <c r="AX198"/>
      <c r="AY198"/>
      <c r="AZ198"/>
      <c r="BA198"/>
      <c r="BB198"/>
      <c r="BC198"/>
      <c r="BD198"/>
      <c r="BE198"/>
    </row>
    <row r="199" spans="1:57" x14ac:dyDescent="0.25">
      <c r="B199" s="97"/>
      <c r="C199" s="97"/>
      <c r="D199" s="97"/>
      <c r="E199" s="97"/>
      <c r="F199" s="97"/>
      <c r="G199" s="97"/>
      <c r="H199" s="97"/>
      <c r="I199" s="98"/>
      <c r="J199" s="100"/>
      <c r="K199" s="97"/>
      <c r="L199" s="99"/>
      <c r="M199" s="99"/>
    </row>
    <row r="200" spans="1:57" ht="46.2" customHeight="1" x14ac:dyDescent="0.25"/>
    <row r="201" spans="1:57" ht="15.6" x14ac:dyDescent="0.3">
      <c r="B201" s="85" t="s">
        <v>613</v>
      </c>
      <c r="C201" s="51"/>
      <c r="D201" s="51"/>
      <c r="E201" s="51"/>
      <c r="F201" s="1075" t="s">
        <v>114</v>
      </c>
      <c r="G201" s="1075"/>
      <c r="H201" s="1076" t="s">
        <v>113</v>
      </c>
      <c r="I201" s="1076"/>
      <c r="J201" s="1075" t="s">
        <v>243</v>
      </c>
      <c r="K201" s="1075"/>
      <c r="L201" s="58"/>
      <c r="M201" s="58"/>
      <c r="N201" s="5"/>
      <c r="O201" s="5"/>
      <c r="P201" s="5"/>
      <c r="Q201" s="5"/>
      <c r="R201" s="5"/>
      <c r="S201" s="5"/>
      <c r="T201" s="5"/>
      <c r="U201" s="5"/>
    </row>
    <row r="202" spans="1:57" ht="15.6" x14ac:dyDescent="0.3">
      <c r="B202" s="85"/>
      <c r="C202" s="51"/>
      <c r="D202" s="387" t="s">
        <v>253</v>
      </c>
      <c r="E202" s="51"/>
      <c r="F202" s="59"/>
      <c r="G202" s="59"/>
      <c r="H202" s="60"/>
      <c r="I202" s="60"/>
      <c r="J202" s="59"/>
      <c r="K202" s="59"/>
      <c r="L202" s="58"/>
      <c r="M202" s="58"/>
    </row>
    <row r="203" spans="1:57" ht="55.2" customHeight="1" thickBot="1" x14ac:dyDescent="0.3">
      <c r="B203" s="171" t="s">
        <v>254</v>
      </c>
      <c r="C203" s="51"/>
      <c r="D203" s="51"/>
      <c r="E203" s="51"/>
      <c r="F203" s="53"/>
      <c r="G203" s="53"/>
      <c r="H203" s="52"/>
      <c r="I203" s="52"/>
      <c r="J203" s="58"/>
      <c r="K203" s="58"/>
      <c r="L203" s="58"/>
      <c r="M203" s="58"/>
    </row>
    <row r="204" spans="1:57" ht="13.8" thickBot="1" x14ac:dyDescent="0.3">
      <c r="B204" s="51"/>
      <c r="C204" s="51" t="s">
        <v>614</v>
      </c>
      <c r="D204" s="58"/>
      <c r="E204" s="51"/>
      <c r="F204" s="95">
        <v>0.25</v>
      </c>
      <c r="G204" s="53" t="s">
        <v>256</v>
      </c>
      <c r="H204" s="77">
        <v>39.200000000000003</v>
      </c>
      <c r="I204" s="52" t="s">
        <v>257</v>
      </c>
      <c r="J204" s="58">
        <f t="shared" ref="J204:J216" si="25">F204*H204</f>
        <v>9.8000000000000007</v>
      </c>
      <c r="K204" s="51" t="s">
        <v>57</v>
      </c>
      <c r="L204" s="58"/>
      <c r="M204" s="58"/>
    </row>
    <row r="205" spans="1:57" ht="13.8" thickBot="1" x14ac:dyDescent="0.3">
      <c r="B205" s="51"/>
      <c r="C205" s="51" t="s">
        <v>615</v>
      </c>
      <c r="D205" s="58"/>
      <c r="E205" s="51"/>
      <c r="F205" s="95">
        <v>0.9</v>
      </c>
      <c r="G205" s="53" t="s">
        <v>212</v>
      </c>
      <c r="H205" s="77">
        <v>140</v>
      </c>
      <c r="I205" s="52" t="s">
        <v>206</v>
      </c>
      <c r="J205" s="58">
        <f t="shared" si="25"/>
        <v>126</v>
      </c>
      <c r="K205" s="51" t="s">
        <v>57</v>
      </c>
      <c r="L205" s="58"/>
      <c r="M205" s="58"/>
    </row>
    <row r="206" spans="1:57" ht="13.8" thickBot="1" x14ac:dyDescent="0.3">
      <c r="B206" s="51"/>
      <c r="C206" s="51" t="s">
        <v>616</v>
      </c>
      <c r="D206" s="58"/>
      <c r="E206" s="51"/>
      <c r="F206" s="95">
        <v>2</v>
      </c>
      <c r="G206" s="53" t="s">
        <v>212</v>
      </c>
      <c r="H206" s="77">
        <v>108</v>
      </c>
      <c r="I206" s="52" t="s">
        <v>206</v>
      </c>
      <c r="J206" s="58">
        <f t="shared" si="25"/>
        <v>216</v>
      </c>
      <c r="K206" s="51" t="s">
        <v>57</v>
      </c>
      <c r="L206" s="58"/>
      <c r="M206" s="58"/>
    </row>
    <row r="207" spans="1:57" ht="13.8" thickBot="1" x14ac:dyDescent="0.3">
      <c r="B207" s="51"/>
      <c r="C207" s="51" t="s">
        <v>265</v>
      </c>
      <c r="D207" s="58"/>
      <c r="E207" s="51"/>
      <c r="F207" s="95"/>
      <c r="G207" s="53" t="s">
        <v>212</v>
      </c>
      <c r="H207" s="77"/>
      <c r="I207" s="52" t="s">
        <v>206</v>
      </c>
      <c r="J207" s="58">
        <f t="shared" ref="J207" si="26">F207*H207</f>
        <v>0</v>
      </c>
      <c r="K207" s="51" t="s">
        <v>57</v>
      </c>
      <c r="L207" s="58"/>
      <c r="M207" s="58"/>
    </row>
    <row r="208" spans="1:57" ht="13.8" thickBot="1" x14ac:dyDescent="0.3">
      <c r="B208" s="51"/>
      <c r="C208" s="51" t="s">
        <v>265</v>
      </c>
      <c r="D208" s="51"/>
      <c r="E208" s="51"/>
      <c r="F208" s="95"/>
      <c r="G208" s="53" t="s">
        <v>256</v>
      </c>
      <c r="H208" s="77"/>
      <c r="I208" s="52" t="s">
        <v>257</v>
      </c>
      <c r="J208" s="58">
        <f t="shared" si="25"/>
        <v>0</v>
      </c>
      <c r="K208" s="51" t="s">
        <v>57</v>
      </c>
      <c r="L208" s="58"/>
      <c r="M208" s="58"/>
    </row>
    <row r="209" spans="1:57" ht="13.8" thickBot="1" x14ac:dyDescent="0.3">
      <c r="B209" s="51"/>
      <c r="C209" s="51" t="s">
        <v>265</v>
      </c>
      <c r="D209" s="51"/>
      <c r="E209" s="51"/>
      <c r="F209" s="95"/>
      <c r="G209" s="53" t="s">
        <v>256</v>
      </c>
      <c r="H209" s="77"/>
      <c r="I209" s="52" t="s">
        <v>257</v>
      </c>
      <c r="J209" s="58">
        <f t="shared" si="25"/>
        <v>0</v>
      </c>
      <c r="K209" s="51" t="s">
        <v>57</v>
      </c>
      <c r="L209" s="58"/>
      <c r="M209" s="58"/>
    </row>
    <row r="210" spans="1:57" x14ac:dyDescent="0.25">
      <c r="B210" s="51"/>
      <c r="C210" s="51"/>
      <c r="D210" s="51"/>
      <c r="E210" s="51"/>
      <c r="F210" s="53"/>
      <c r="G210" s="53"/>
      <c r="H210" s="52"/>
      <c r="I210" s="52"/>
      <c r="J210" s="58"/>
      <c r="K210" s="51"/>
      <c r="L210" s="58"/>
      <c r="M210" s="58"/>
    </row>
    <row r="211" spans="1:57" ht="13.8" thickBot="1" x14ac:dyDescent="0.3">
      <c r="B211" s="171" t="s">
        <v>266</v>
      </c>
      <c r="C211" s="51"/>
      <c r="D211" s="51"/>
      <c r="E211" s="51"/>
      <c r="F211" s="53"/>
      <c r="G211" s="53"/>
      <c r="H211" s="52"/>
      <c r="I211" s="52"/>
      <c r="J211" s="58"/>
      <c r="K211" s="51"/>
      <c r="L211" s="58"/>
      <c r="M211" s="58"/>
    </row>
    <row r="212" spans="1:57" ht="13.8" thickBot="1" x14ac:dyDescent="0.3">
      <c r="A212" s="882"/>
      <c r="B212" s="51"/>
      <c r="C212" s="51" t="s">
        <v>617</v>
      </c>
      <c r="D212" s="51"/>
      <c r="E212" s="51"/>
      <c r="F212" s="76">
        <v>375000</v>
      </c>
      <c r="G212" s="53" t="s">
        <v>618</v>
      </c>
      <c r="H212" s="485">
        <v>2E-3</v>
      </c>
      <c r="I212" s="52" t="s">
        <v>246</v>
      </c>
      <c r="J212" s="58">
        <f t="shared" si="25"/>
        <v>750</v>
      </c>
      <c r="K212" s="51" t="s">
        <v>57</v>
      </c>
      <c r="L212" s="58"/>
      <c r="M212" s="58"/>
    </row>
    <row r="213" spans="1:57" ht="13.8" thickBot="1" x14ac:dyDescent="0.3">
      <c r="A213" s="882"/>
      <c r="B213" s="51"/>
      <c r="C213" s="51" t="s">
        <v>619</v>
      </c>
      <c r="D213" s="51"/>
      <c r="E213" s="51"/>
      <c r="F213" s="95">
        <v>0.5</v>
      </c>
      <c r="G213" s="53" t="s">
        <v>212</v>
      </c>
      <c r="H213" s="95">
        <v>255</v>
      </c>
      <c r="I213" s="51" t="s">
        <v>206</v>
      </c>
      <c r="J213" s="58">
        <f t="shared" si="25"/>
        <v>127.5</v>
      </c>
      <c r="K213" s="51" t="s">
        <v>57</v>
      </c>
      <c r="L213" s="58"/>
      <c r="M213" s="58"/>
    </row>
    <row r="214" spans="1:57" ht="13.8" thickBot="1" x14ac:dyDescent="0.3">
      <c r="A214" s="882"/>
      <c r="B214" s="51"/>
      <c r="C214" s="51" t="s">
        <v>267</v>
      </c>
      <c r="D214" s="51"/>
      <c r="E214" s="51"/>
      <c r="F214" s="95"/>
      <c r="G214" s="53"/>
      <c r="H214" s="95"/>
      <c r="I214" s="195"/>
      <c r="J214" s="58"/>
      <c r="K214" s="51"/>
      <c r="L214" s="58"/>
      <c r="M214" s="58"/>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row>
    <row r="215" spans="1:57" ht="13.8" thickBot="1" x14ac:dyDescent="0.3">
      <c r="A215" s="882"/>
      <c r="B215" s="51"/>
      <c r="C215" s="51" t="s">
        <v>267</v>
      </c>
      <c r="D215" s="51"/>
      <c r="E215" s="51"/>
      <c r="F215" s="95"/>
      <c r="G215" s="53"/>
      <c r="H215" s="95"/>
      <c r="I215" s="195"/>
      <c r="J215" s="58">
        <f t="shared" si="25"/>
        <v>0</v>
      </c>
      <c r="K215" s="51" t="s">
        <v>57</v>
      </c>
      <c r="L215" s="58"/>
      <c r="M215" s="58"/>
    </row>
    <row r="216" spans="1:57" ht="13.8" thickBot="1" x14ac:dyDescent="0.3">
      <c r="A216" s="882"/>
      <c r="B216" s="51"/>
      <c r="C216" s="51" t="s">
        <v>267</v>
      </c>
      <c r="D216" s="51"/>
      <c r="E216" s="51"/>
      <c r="F216" s="95"/>
      <c r="G216" s="53"/>
      <c r="H216" s="95"/>
      <c r="I216" s="52"/>
      <c r="J216" s="58">
        <f t="shared" si="25"/>
        <v>0</v>
      </c>
      <c r="K216" s="51" t="s">
        <v>57</v>
      </c>
      <c r="L216" s="58"/>
      <c r="M216" s="58"/>
    </row>
    <row r="217" spans="1:57" x14ac:dyDescent="0.25">
      <c r="A217" s="882"/>
      <c r="B217" s="195"/>
      <c r="C217" s="195" t="s">
        <v>54</v>
      </c>
      <c r="D217" s="195"/>
      <c r="E217" s="195"/>
      <c r="F217" s="196"/>
      <c r="G217" s="196"/>
      <c r="H217" s="196"/>
      <c r="I217" s="52"/>
      <c r="J217" s="195">
        <f>SUM(J204:J216)</f>
        <v>1229.3</v>
      </c>
      <c r="K217" s="195" t="s">
        <v>57</v>
      </c>
      <c r="L217" s="195"/>
      <c r="M217" s="195"/>
    </row>
    <row r="218" spans="1:57" x14ac:dyDescent="0.25">
      <c r="A218" s="882"/>
      <c r="B218" s="195"/>
      <c r="C218" s="195"/>
      <c r="D218" s="195"/>
      <c r="E218" s="195"/>
      <c r="F218" s="196"/>
      <c r="G218" s="196"/>
      <c r="H218" s="196"/>
      <c r="I218" s="52"/>
      <c r="J218" s="195"/>
      <c r="K218" s="195"/>
      <c r="L218" s="195"/>
      <c r="M218" s="195"/>
    </row>
    <row r="219" spans="1:57" ht="40.950000000000003" customHeight="1" x14ac:dyDescent="0.25">
      <c r="A219" s="882"/>
    </row>
    <row r="220" spans="1:57" ht="15.6" x14ac:dyDescent="0.3">
      <c r="A220" s="882"/>
      <c r="B220" s="526" t="s">
        <v>620</v>
      </c>
      <c r="C220" s="527"/>
      <c r="D220" s="527"/>
      <c r="E220" s="527"/>
      <c r="F220" s="1125" t="s">
        <v>114</v>
      </c>
      <c r="G220" s="1125"/>
      <c r="H220" s="1125" t="s">
        <v>113</v>
      </c>
      <c r="I220" s="1125"/>
      <c r="J220" s="1125" t="s">
        <v>243</v>
      </c>
      <c r="K220" s="1125"/>
      <c r="L220" s="101"/>
      <c r="M220" s="101"/>
    </row>
    <row r="221" spans="1:57" ht="13.8" thickBot="1" x14ac:dyDescent="0.3">
      <c r="A221" s="882"/>
      <c r="B221" s="527"/>
      <c r="C221" s="527"/>
      <c r="D221" s="527"/>
      <c r="E221" s="527"/>
      <c r="F221" s="527"/>
      <c r="G221" s="527"/>
      <c r="H221" s="528"/>
      <c r="I221" s="528"/>
      <c r="J221" s="101"/>
      <c r="K221" s="101"/>
      <c r="L221" s="101"/>
      <c r="M221" s="101"/>
    </row>
    <row r="222" spans="1:57" ht="13.8" thickBot="1" x14ac:dyDescent="0.3">
      <c r="A222" s="882"/>
      <c r="B222" s="527"/>
      <c r="C222" s="527" t="s">
        <v>621</v>
      </c>
      <c r="D222" s="101"/>
      <c r="E222" s="527"/>
      <c r="F222" s="529">
        <v>5</v>
      </c>
      <c r="G222" s="527" t="s">
        <v>622</v>
      </c>
      <c r="H222" s="530">
        <v>160</v>
      </c>
      <c r="I222" s="528" t="s">
        <v>623</v>
      </c>
      <c r="J222" s="531">
        <f t="shared" ref="J222:J224" si="27">F222*H222</f>
        <v>800</v>
      </c>
      <c r="K222" s="527" t="s">
        <v>57</v>
      </c>
      <c r="L222" s="101"/>
      <c r="M222" s="101"/>
    </row>
    <row r="223" spans="1:57" ht="13.8" thickBot="1" x14ac:dyDescent="0.3">
      <c r="A223" s="882"/>
      <c r="B223" s="527"/>
      <c r="C223" s="527" t="s">
        <v>274</v>
      </c>
      <c r="D223" s="527"/>
      <c r="E223" s="527"/>
      <c r="F223" s="529"/>
      <c r="G223" s="527" t="s">
        <v>7</v>
      </c>
      <c r="H223" s="530"/>
      <c r="I223" s="528" t="s">
        <v>57</v>
      </c>
      <c r="J223" s="531">
        <f t="shared" si="27"/>
        <v>0</v>
      </c>
      <c r="K223" s="527" t="s">
        <v>57</v>
      </c>
      <c r="L223" s="101"/>
      <c r="M223" s="101"/>
    </row>
    <row r="224" spans="1:57" ht="13.8" thickBot="1" x14ac:dyDescent="0.3">
      <c r="A224" s="882"/>
      <c r="B224" s="527"/>
      <c r="C224" s="527" t="s">
        <v>274</v>
      </c>
      <c r="D224" s="527"/>
      <c r="E224" s="527"/>
      <c r="F224" s="529"/>
      <c r="G224" s="527" t="s">
        <v>7</v>
      </c>
      <c r="H224" s="530"/>
      <c r="I224" s="528" t="s">
        <v>57</v>
      </c>
      <c r="J224" s="531">
        <f t="shared" si="27"/>
        <v>0</v>
      </c>
      <c r="K224" s="527" t="s">
        <v>57</v>
      </c>
      <c r="L224" s="101"/>
      <c r="M224" s="101"/>
    </row>
    <row r="225" spans="1:57" x14ac:dyDescent="0.25">
      <c r="A225" s="882"/>
      <c r="B225" s="305"/>
      <c r="C225" s="305" t="s">
        <v>54</v>
      </c>
      <c r="D225" s="305"/>
      <c r="E225" s="305"/>
      <c r="F225" s="305"/>
      <c r="G225" s="305"/>
      <c r="H225" s="532"/>
      <c r="I225" s="532"/>
      <c r="J225" s="533">
        <f>SUM(J222:J224)</f>
        <v>800</v>
      </c>
      <c r="K225" s="305" t="s">
        <v>57</v>
      </c>
      <c r="L225" s="305"/>
      <c r="M225" s="305"/>
    </row>
    <row r="226" spans="1:57" x14ac:dyDescent="0.25">
      <c r="A226" s="882"/>
      <c r="B226" s="527"/>
      <c r="C226" s="527"/>
      <c r="D226" s="527"/>
      <c r="E226" s="527"/>
      <c r="F226" s="527"/>
      <c r="G226" s="527"/>
      <c r="H226" s="528"/>
      <c r="I226" s="528"/>
      <c r="J226" s="531"/>
      <c r="K226" s="527"/>
      <c r="L226" s="101"/>
      <c r="M226" s="101"/>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row>
    <row r="227" spans="1:57" ht="40.950000000000003" customHeight="1" x14ac:dyDescent="0.25">
      <c r="A227" s="882"/>
    </row>
    <row r="228" spans="1:57" ht="15.6" x14ac:dyDescent="0.3">
      <c r="A228" s="882"/>
      <c r="B228" s="86" t="s">
        <v>624</v>
      </c>
      <c r="C228" s="61"/>
      <c r="D228" s="61"/>
      <c r="E228" s="61"/>
      <c r="F228" s="1071" t="s">
        <v>114</v>
      </c>
      <c r="G228" s="1071"/>
      <c r="H228" s="1071" t="s">
        <v>113</v>
      </c>
      <c r="I228" s="1071"/>
      <c r="J228" s="1071" t="s">
        <v>243</v>
      </c>
      <c r="K228" s="1071"/>
      <c r="L228" s="63"/>
      <c r="M228" s="63"/>
    </row>
    <row r="229" spans="1:57" ht="13.8" thickBot="1" x14ac:dyDescent="0.3">
      <c r="A229" s="882"/>
      <c r="B229" s="61"/>
      <c r="C229" s="61"/>
      <c r="D229" s="61"/>
      <c r="E229" s="61"/>
      <c r="F229" s="61"/>
      <c r="G229" s="61"/>
      <c r="H229" s="62"/>
      <c r="I229" s="62"/>
      <c r="J229" s="63"/>
      <c r="K229" s="63"/>
      <c r="L229" s="63"/>
      <c r="M229" s="63"/>
    </row>
    <row r="230" spans="1:57" ht="13.8" thickBot="1" x14ac:dyDescent="0.3">
      <c r="A230" s="882"/>
      <c r="B230" s="61"/>
      <c r="C230" s="61" t="s">
        <v>625</v>
      </c>
      <c r="D230" s="61"/>
      <c r="E230" s="61"/>
      <c r="F230" s="388">
        <f>S10*'Gårdens info'!$G$28/1</f>
        <v>680</v>
      </c>
      <c r="G230" s="61" t="s">
        <v>116</v>
      </c>
      <c r="H230" s="77">
        <v>0</v>
      </c>
      <c r="I230" s="62" t="s">
        <v>74</v>
      </c>
      <c r="J230" s="64">
        <f>F230*H230</f>
        <v>0</v>
      </c>
      <c r="K230" s="61" t="s">
        <v>57</v>
      </c>
      <c r="L230" s="63"/>
      <c r="M230" s="63"/>
    </row>
    <row r="231" spans="1:57" ht="13.8" thickBot="1" x14ac:dyDescent="0.3">
      <c r="A231" s="882"/>
      <c r="B231" s="61"/>
      <c r="C231" s="61" t="s">
        <v>626</v>
      </c>
      <c r="D231" s="63"/>
      <c r="E231" s="61"/>
      <c r="F231" s="388">
        <f>S11*'Gårdens info'!$G$28/5</f>
        <v>136</v>
      </c>
      <c r="G231" s="61" t="s">
        <v>116</v>
      </c>
      <c r="H231" s="77">
        <v>0.65</v>
      </c>
      <c r="I231" s="62" t="s">
        <v>74</v>
      </c>
      <c r="J231" s="64">
        <f>F231*H231</f>
        <v>88.4</v>
      </c>
      <c r="K231" s="61" t="s">
        <v>57</v>
      </c>
      <c r="L231" s="63"/>
      <c r="M231" s="63"/>
    </row>
    <row r="232" spans="1:57" ht="13.8" thickBot="1" x14ac:dyDescent="0.3">
      <c r="A232" s="882"/>
      <c r="B232" s="61"/>
      <c r="C232" s="61" t="s">
        <v>627</v>
      </c>
      <c r="D232" s="63"/>
      <c r="E232" s="61"/>
      <c r="F232" s="388">
        <f>S12*'Gårdens info'!$G$28/3</f>
        <v>340</v>
      </c>
      <c r="G232" s="61" t="s">
        <v>116</v>
      </c>
      <c r="H232" s="77">
        <v>0.89</v>
      </c>
      <c r="I232" s="62" t="s">
        <v>74</v>
      </c>
      <c r="J232" s="64">
        <f t="shared" ref="J232:J235" si="28">F232*H232</f>
        <v>302.60000000000002</v>
      </c>
      <c r="K232" s="61" t="s">
        <v>57</v>
      </c>
      <c r="L232" s="63"/>
      <c r="M232" s="63"/>
    </row>
    <row r="233" spans="1:57" ht="13.8" thickBot="1" x14ac:dyDescent="0.3">
      <c r="A233" s="882"/>
      <c r="B233" s="61"/>
      <c r="C233" s="61" t="s">
        <v>628</v>
      </c>
      <c r="D233" s="63"/>
      <c r="E233" s="61"/>
      <c r="F233" s="388">
        <f>S13*'Gårdens info'!$G$28/0.5</f>
        <v>1360</v>
      </c>
      <c r="G233" s="61" t="s">
        <v>116</v>
      </c>
      <c r="H233" s="77">
        <v>0.05</v>
      </c>
      <c r="I233" s="62" t="s">
        <v>74</v>
      </c>
      <c r="J233" s="64">
        <f t="shared" si="28"/>
        <v>68</v>
      </c>
      <c r="K233" s="61" t="s">
        <v>57</v>
      </c>
      <c r="L233" s="63"/>
      <c r="M233" s="63"/>
    </row>
    <row r="234" spans="1:57" ht="13.8" thickBot="1" x14ac:dyDescent="0.3">
      <c r="A234" s="882"/>
      <c r="B234" s="61"/>
      <c r="C234" s="61" t="s">
        <v>629</v>
      </c>
      <c r="D234" s="63"/>
      <c r="E234" s="61"/>
      <c r="F234" s="388">
        <f>S14*'Gårdens info'!$G$28/0.25</f>
        <v>1360</v>
      </c>
      <c r="G234" s="61" t="s">
        <v>116</v>
      </c>
      <c r="H234" s="77">
        <v>0.04</v>
      </c>
      <c r="I234" s="62" t="s">
        <v>74</v>
      </c>
      <c r="J234" s="64">
        <f t="shared" si="28"/>
        <v>54.4</v>
      </c>
      <c r="K234" s="61" t="s">
        <v>57</v>
      </c>
      <c r="L234" s="63"/>
      <c r="M234" s="63"/>
    </row>
    <row r="235" spans="1:57" ht="13.8" thickBot="1" x14ac:dyDescent="0.3">
      <c r="B235" s="61"/>
      <c r="C235" s="77" t="s">
        <v>272</v>
      </c>
      <c r="D235" s="77"/>
      <c r="E235" s="61" t="s">
        <v>212</v>
      </c>
      <c r="F235" s="388">
        <f>IF(S15&gt;0,S15*'Gårdens info'!$G$28/D235,0)</f>
        <v>0</v>
      </c>
      <c r="G235" s="61" t="s">
        <v>116</v>
      </c>
      <c r="H235" s="77"/>
      <c r="I235" s="62" t="s">
        <v>74</v>
      </c>
      <c r="J235" s="64">
        <f t="shared" si="28"/>
        <v>0</v>
      </c>
      <c r="K235" s="61" t="s">
        <v>57</v>
      </c>
      <c r="L235" s="63"/>
      <c r="M235" s="63"/>
    </row>
    <row r="236" spans="1:57" ht="13.8" thickBot="1" x14ac:dyDescent="0.3">
      <c r="B236" s="61"/>
      <c r="C236" s="77" t="s">
        <v>272</v>
      </c>
      <c r="D236" s="77"/>
      <c r="E236" s="61" t="s">
        <v>212</v>
      </c>
      <c r="F236" s="388">
        <f>IF(S16&gt;0,S16*'Gårdens info'!$G$28/D236,0)</f>
        <v>0</v>
      </c>
      <c r="G236" s="61" t="s">
        <v>116</v>
      </c>
      <c r="H236" s="77"/>
      <c r="I236" s="62" t="s">
        <v>74</v>
      </c>
      <c r="J236" s="64">
        <f t="shared" ref="J236:J237" si="29">F236*H236</f>
        <v>0</v>
      </c>
      <c r="K236" s="61" t="s">
        <v>57</v>
      </c>
      <c r="L236" s="63"/>
      <c r="M236" s="63"/>
    </row>
    <row r="237" spans="1:57" ht="13.8" thickBot="1" x14ac:dyDescent="0.3">
      <c r="B237" s="61"/>
      <c r="C237" s="77" t="s">
        <v>272</v>
      </c>
      <c r="D237" s="77"/>
      <c r="E237" s="61" t="s">
        <v>212</v>
      </c>
      <c r="F237" s="388">
        <f>IF(S17&gt;0,S17*'Gårdens info'!$G$28/D237,0)</f>
        <v>0</v>
      </c>
      <c r="G237" s="61" t="s">
        <v>116</v>
      </c>
      <c r="H237" s="77"/>
      <c r="I237" s="62" t="s">
        <v>74</v>
      </c>
      <c r="J237" s="64">
        <f t="shared" si="29"/>
        <v>0</v>
      </c>
      <c r="K237" s="61" t="s">
        <v>57</v>
      </c>
      <c r="L237" s="63"/>
      <c r="M237" s="63"/>
    </row>
    <row r="238" spans="1:57" s="5" customFormat="1" x14ac:dyDescent="0.25">
      <c r="A238" s="879"/>
      <c r="B238" s="198"/>
      <c r="C238" s="198" t="s">
        <v>54</v>
      </c>
      <c r="D238" s="198"/>
      <c r="E238" s="198"/>
      <c r="F238" s="198"/>
      <c r="G238" s="198"/>
      <c r="H238" s="199"/>
      <c r="I238" s="199"/>
      <c r="J238" s="200">
        <f>SUM(J231:J237)</f>
        <v>513.4</v>
      </c>
      <c r="K238" s="198" t="s">
        <v>57</v>
      </c>
      <c r="L238" s="198"/>
      <c r="M238" s="198"/>
      <c r="N238"/>
      <c r="O238"/>
      <c r="P238"/>
      <c r="Q238"/>
      <c r="R238"/>
      <c r="S238"/>
      <c r="T238"/>
      <c r="U238"/>
      <c r="AE238"/>
      <c r="AF238"/>
      <c r="AG238"/>
      <c r="AH238"/>
      <c r="AI238"/>
      <c r="AJ238"/>
      <c r="AK238"/>
      <c r="AL238"/>
      <c r="AM238"/>
      <c r="AN238"/>
      <c r="AO238"/>
      <c r="AP238"/>
      <c r="AQ238"/>
      <c r="AR238"/>
      <c r="AS238"/>
      <c r="AT238"/>
      <c r="AU238"/>
      <c r="AV238"/>
      <c r="AW238"/>
      <c r="AX238"/>
      <c r="AY238"/>
      <c r="AZ238"/>
      <c r="BA238"/>
      <c r="BB238"/>
      <c r="BC238"/>
      <c r="BD238"/>
      <c r="BE238"/>
    </row>
    <row r="239" spans="1:57" x14ac:dyDescent="0.25">
      <c r="B239" s="61"/>
      <c r="C239" s="61"/>
      <c r="D239" s="61"/>
      <c r="E239" s="61"/>
      <c r="F239" s="61"/>
      <c r="G239" s="61"/>
      <c r="H239" s="62"/>
      <c r="I239" s="62"/>
      <c r="J239" s="64"/>
      <c r="K239" s="61"/>
      <c r="L239" s="63"/>
      <c r="M239" s="63"/>
    </row>
    <row r="240" spans="1:57" ht="30" customHeight="1" x14ac:dyDescent="0.25"/>
    <row r="241" spans="1:57" ht="15.6" x14ac:dyDescent="0.3">
      <c r="B241" s="87" t="s">
        <v>630</v>
      </c>
      <c r="C241" s="65"/>
      <c r="D241" s="65"/>
      <c r="E241" s="65"/>
      <c r="F241" s="1072" t="s">
        <v>114</v>
      </c>
      <c r="G241" s="1072"/>
      <c r="H241" s="1072" t="s">
        <v>113</v>
      </c>
      <c r="I241" s="1072"/>
      <c r="J241" s="1072" t="s">
        <v>243</v>
      </c>
      <c r="K241" s="1072"/>
      <c r="L241" s="67"/>
      <c r="M241" s="67"/>
      <c r="N241" s="5"/>
      <c r="O241" s="5"/>
      <c r="P241" s="5"/>
      <c r="Q241" s="5"/>
      <c r="R241" s="5"/>
      <c r="S241" s="5"/>
      <c r="T241" s="5"/>
      <c r="U241" s="5"/>
    </row>
    <row r="242" spans="1:57" ht="13.8" thickBot="1" x14ac:dyDescent="0.3">
      <c r="B242" s="65"/>
      <c r="C242" s="65"/>
      <c r="D242" s="65"/>
      <c r="E242" s="65"/>
      <c r="F242" s="65"/>
      <c r="G242" s="65"/>
      <c r="H242" s="66"/>
      <c r="I242" s="66"/>
      <c r="J242" s="67"/>
      <c r="K242" s="67"/>
      <c r="L242" s="67"/>
      <c r="M242" s="67"/>
    </row>
    <row r="243" spans="1:57" ht="13.8" thickBot="1" x14ac:dyDescent="0.3">
      <c r="B243" s="65"/>
      <c r="C243" s="65" t="s">
        <v>222</v>
      </c>
      <c r="D243" s="67"/>
      <c r="E243" s="65"/>
      <c r="F243" s="74">
        <f>'Gårdens info'!G28*'Gårdens info'!D28</f>
        <v>10200</v>
      </c>
      <c r="G243" s="65" t="s">
        <v>212</v>
      </c>
      <c r="H243" s="77">
        <v>0.15</v>
      </c>
      <c r="I243" s="66" t="s">
        <v>206</v>
      </c>
      <c r="J243" s="68">
        <f t="shared" ref="J243:J245" si="30">F243*H243</f>
        <v>1530</v>
      </c>
      <c r="K243" s="65" t="s">
        <v>57</v>
      </c>
      <c r="L243" s="67"/>
      <c r="M243" s="67"/>
    </row>
    <row r="244" spans="1:57" ht="13.8" thickBot="1" x14ac:dyDescent="0.3">
      <c r="B244" s="65"/>
      <c r="C244" s="65" t="s">
        <v>372</v>
      </c>
      <c r="D244" s="65"/>
      <c r="E244" s="65"/>
      <c r="F244" s="74"/>
      <c r="G244" s="65" t="s">
        <v>212</v>
      </c>
      <c r="H244" s="77"/>
      <c r="I244" s="66" t="s">
        <v>206</v>
      </c>
      <c r="J244" s="68">
        <f t="shared" si="30"/>
        <v>0</v>
      </c>
      <c r="K244" s="65" t="s">
        <v>57</v>
      </c>
      <c r="L244" s="67"/>
      <c r="M244" s="67"/>
    </row>
    <row r="245" spans="1:57" ht="13.8" thickBot="1" x14ac:dyDescent="0.3">
      <c r="B245" s="65"/>
      <c r="C245" s="65" t="s">
        <v>372</v>
      </c>
      <c r="D245" s="65"/>
      <c r="E245" s="65"/>
      <c r="F245" s="74"/>
      <c r="G245" s="65" t="s">
        <v>212</v>
      </c>
      <c r="H245" s="77"/>
      <c r="I245" s="66" t="s">
        <v>206</v>
      </c>
      <c r="J245" s="68">
        <f t="shared" si="30"/>
        <v>0</v>
      </c>
      <c r="K245" s="65" t="s">
        <v>57</v>
      </c>
      <c r="L245" s="67"/>
      <c r="M245" s="67"/>
    </row>
    <row r="246" spans="1:57" s="5" customFormat="1" x14ac:dyDescent="0.25">
      <c r="A246" s="879"/>
      <c r="B246" s="201"/>
      <c r="C246" s="201" t="s">
        <v>54</v>
      </c>
      <c r="D246" s="201"/>
      <c r="E246" s="201"/>
      <c r="F246" s="201"/>
      <c r="G246" s="201"/>
      <c r="H246" s="202"/>
      <c r="I246" s="202"/>
      <c r="J246" s="203">
        <f>SUM(J243:J245)</f>
        <v>1530</v>
      </c>
      <c r="K246" s="201" t="s">
        <v>57</v>
      </c>
      <c r="L246" s="201"/>
      <c r="M246" s="201"/>
      <c r="N246"/>
      <c r="O246"/>
      <c r="P246"/>
      <c r="Q246"/>
      <c r="R246"/>
      <c r="S246"/>
      <c r="T246"/>
      <c r="U246"/>
      <c r="AE246"/>
      <c r="AF246"/>
      <c r="AG246"/>
      <c r="AH246"/>
      <c r="AI246"/>
      <c r="AJ246"/>
      <c r="AK246"/>
      <c r="AL246"/>
      <c r="AM246"/>
      <c r="AN246"/>
      <c r="AO246"/>
      <c r="AP246"/>
      <c r="AQ246"/>
      <c r="AR246"/>
      <c r="AS246"/>
      <c r="AT246"/>
      <c r="AU246"/>
      <c r="AV246"/>
      <c r="AW246"/>
      <c r="AX246"/>
      <c r="AY246"/>
      <c r="AZ246"/>
      <c r="BA246"/>
      <c r="BB246"/>
      <c r="BC246"/>
      <c r="BD246"/>
      <c r="BE246"/>
    </row>
    <row r="247" spans="1:57" x14ac:dyDescent="0.25">
      <c r="B247" s="65"/>
      <c r="C247" s="65"/>
      <c r="D247" s="65"/>
      <c r="E247" s="65"/>
      <c r="F247" s="65"/>
      <c r="G247" s="65"/>
      <c r="H247" s="66"/>
      <c r="I247" s="66"/>
      <c r="J247" s="68"/>
      <c r="K247" s="65"/>
      <c r="L247" s="67"/>
      <c r="M247" s="67"/>
    </row>
    <row r="248" spans="1:57" ht="37.200000000000003" customHeight="1" x14ac:dyDescent="0.25"/>
    <row r="249" spans="1:57" ht="15.6" x14ac:dyDescent="0.3">
      <c r="B249" s="176" t="s">
        <v>631</v>
      </c>
      <c r="C249" s="177"/>
      <c r="D249" s="177"/>
      <c r="E249" s="177"/>
      <c r="F249" s="1067" t="s">
        <v>114</v>
      </c>
      <c r="G249" s="1067"/>
      <c r="H249" s="1067" t="s">
        <v>113</v>
      </c>
      <c r="I249" s="1067"/>
      <c r="J249" s="1067" t="s">
        <v>243</v>
      </c>
      <c r="K249" s="1067"/>
      <c r="L249" s="179"/>
      <c r="M249" s="179"/>
      <c r="N249" s="5"/>
      <c r="O249" s="5"/>
      <c r="P249" s="5"/>
      <c r="Q249" s="5"/>
      <c r="R249" s="5"/>
      <c r="S249" s="5"/>
      <c r="T249" s="5"/>
      <c r="U249" s="5"/>
    </row>
    <row r="250" spans="1:57" ht="13.8" thickBot="1" x14ac:dyDescent="0.3">
      <c r="B250" s="177"/>
      <c r="C250" s="177"/>
      <c r="D250" s="177"/>
      <c r="E250" s="177"/>
      <c r="F250" s="177"/>
      <c r="G250" s="177"/>
      <c r="H250" s="178"/>
      <c r="I250" s="178"/>
      <c r="J250" s="179"/>
      <c r="K250" s="179"/>
      <c r="L250" s="179"/>
      <c r="M250" s="179"/>
    </row>
    <row r="251" spans="1:57" ht="13.8" thickBot="1" x14ac:dyDescent="0.3">
      <c r="B251" s="177"/>
      <c r="C251" s="177" t="s">
        <v>292</v>
      </c>
      <c r="D251" s="179"/>
      <c r="E251" s="177"/>
      <c r="F251" s="74"/>
      <c r="G251" s="177" t="s">
        <v>7</v>
      </c>
      <c r="H251" s="77"/>
      <c r="I251" s="178" t="s">
        <v>57</v>
      </c>
      <c r="J251" s="180">
        <f t="shared" ref="J251:J253" si="31">F251*H251</f>
        <v>0</v>
      </c>
      <c r="K251" s="177" t="s">
        <v>57</v>
      </c>
      <c r="L251" s="179"/>
      <c r="M251" s="179"/>
    </row>
    <row r="252" spans="1:57" ht="13.8" thickBot="1" x14ac:dyDescent="0.3">
      <c r="B252" s="177"/>
      <c r="C252" s="177" t="s">
        <v>274</v>
      </c>
      <c r="D252" s="177"/>
      <c r="E252" s="177"/>
      <c r="F252" s="74"/>
      <c r="G252" s="177" t="s">
        <v>7</v>
      </c>
      <c r="H252" s="77"/>
      <c r="I252" s="178" t="s">
        <v>57</v>
      </c>
      <c r="J252" s="180">
        <f t="shared" si="31"/>
        <v>0</v>
      </c>
      <c r="K252" s="177" t="s">
        <v>57</v>
      </c>
      <c r="L252" s="179"/>
      <c r="M252" s="179"/>
    </row>
    <row r="253" spans="1:57" ht="13.8" thickBot="1" x14ac:dyDescent="0.3">
      <c r="B253" s="177"/>
      <c r="C253" s="177" t="s">
        <v>274</v>
      </c>
      <c r="D253" s="177"/>
      <c r="E253" s="177"/>
      <c r="F253" s="74"/>
      <c r="G253" s="177" t="s">
        <v>7</v>
      </c>
      <c r="H253" s="77"/>
      <c r="I253" s="178" t="s">
        <v>57</v>
      </c>
      <c r="J253" s="180">
        <f t="shared" si="31"/>
        <v>0</v>
      </c>
      <c r="K253" s="177" t="s">
        <v>57</v>
      </c>
      <c r="L253" s="179"/>
      <c r="M253" s="179"/>
    </row>
    <row r="254" spans="1:57" s="5" customFormat="1" x14ac:dyDescent="0.25">
      <c r="A254" s="879"/>
      <c r="B254" s="204"/>
      <c r="C254" s="204" t="s">
        <v>54</v>
      </c>
      <c r="D254" s="204"/>
      <c r="E254" s="204"/>
      <c r="F254" s="204"/>
      <c r="G254" s="204"/>
      <c r="H254" s="205"/>
      <c r="I254" s="205"/>
      <c r="J254" s="206">
        <f>SUM(J251:J253)</f>
        <v>0</v>
      </c>
      <c r="K254" s="204" t="s">
        <v>57</v>
      </c>
      <c r="L254" s="204"/>
      <c r="M254" s="204"/>
      <c r="N254"/>
      <c r="O254"/>
      <c r="P254"/>
      <c r="Q254"/>
      <c r="R254"/>
      <c r="S254"/>
      <c r="T254"/>
      <c r="U254"/>
      <c r="AE254"/>
      <c r="AF254"/>
      <c r="AG254"/>
      <c r="AH254"/>
      <c r="AI254"/>
      <c r="AJ254"/>
      <c r="AK254"/>
      <c r="AL254"/>
      <c r="AM254"/>
      <c r="AN254"/>
      <c r="AO254"/>
      <c r="AP254"/>
      <c r="AQ254"/>
      <c r="AR254"/>
      <c r="AS254"/>
      <c r="AT254"/>
      <c r="AU254"/>
      <c r="AV254"/>
      <c r="AW254"/>
      <c r="AX254"/>
      <c r="AY254"/>
      <c r="AZ254"/>
      <c r="BA254"/>
      <c r="BB254"/>
      <c r="BC254"/>
      <c r="BD254"/>
      <c r="BE254"/>
    </row>
    <row r="255" spans="1:57" x14ac:dyDescent="0.25">
      <c r="B255" s="177"/>
      <c r="C255" s="177"/>
      <c r="D255" s="177"/>
      <c r="E255" s="177"/>
      <c r="F255" s="177"/>
      <c r="G255" s="177"/>
      <c r="H255" s="178"/>
      <c r="I255" s="178"/>
      <c r="J255" s="180"/>
      <c r="K255" s="177"/>
      <c r="L255" s="179"/>
      <c r="M255" s="179"/>
    </row>
    <row r="256" spans="1:57" ht="33" customHeight="1" x14ac:dyDescent="0.25"/>
    <row r="257" spans="1:21" ht="15.6" x14ac:dyDescent="0.3">
      <c r="B257" s="181" t="s">
        <v>632</v>
      </c>
      <c r="C257" s="182"/>
      <c r="D257" s="182"/>
      <c r="E257" s="183"/>
      <c r="F257" s="182" t="s">
        <v>114</v>
      </c>
      <c r="G257" s="184"/>
      <c r="H257" s="184" t="s">
        <v>113</v>
      </c>
      <c r="I257" s="182"/>
      <c r="J257" s="182"/>
      <c r="K257" s="185"/>
      <c r="L257" s="185"/>
      <c r="M257" s="185"/>
      <c r="N257" s="5"/>
      <c r="O257" s="5"/>
      <c r="P257" s="5"/>
      <c r="Q257" s="5"/>
      <c r="R257" s="5"/>
      <c r="S257" s="5"/>
      <c r="T257" s="5"/>
      <c r="U257" s="5"/>
    </row>
    <row r="258" spans="1:21" ht="16.2" thickBot="1" x14ac:dyDescent="0.35">
      <c r="B258" s="181"/>
      <c r="C258" s="182"/>
      <c r="D258" s="182"/>
      <c r="E258" s="183"/>
      <c r="F258" s="182"/>
      <c r="G258" s="184"/>
      <c r="H258" s="184"/>
      <c r="I258" s="182"/>
      <c r="J258" s="182"/>
      <c r="K258" s="185"/>
      <c r="L258" s="185"/>
      <c r="M258" s="185"/>
      <c r="N258" s="5"/>
      <c r="O258" s="5"/>
      <c r="P258" s="5"/>
      <c r="Q258" s="5"/>
      <c r="R258" s="5"/>
      <c r="S258" s="5"/>
      <c r="T258" s="5"/>
      <c r="U258" s="5"/>
    </row>
    <row r="259" spans="1:21" ht="15" customHeight="1" thickBot="1" x14ac:dyDescent="0.3">
      <c r="B259" s="182"/>
      <c r="C259" s="182" t="s">
        <v>278</v>
      </c>
      <c r="D259" s="185"/>
      <c r="E259" s="186"/>
      <c r="F259" s="74">
        <v>1000</v>
      </c>
      <c r="G259" s="187" t="s">
        <v>279</v>
      </c>
      <c r="H259" s="74">
        <v>0.15</v>
      </c>
      <c r="I259" s="188" t="s">
        <v>280</v>
      </c>
      <c r="J259" s="185">
        <f>H259*F259</f>
        <v>150</v>
      </c>
      <c r="K259" s="188" t="s">
        <v>57</v>
      </c>
      <c r="L259" s="185"/>
      <c r="M259" s="185"/>
      <c r="N259" s="5"/>
      <c r="O259" s="5"/>
      <c r="P259" s="5"/>
      <c r="Q259" s="5"/>
      <c r="R259" s="5"/>
      <c r="S259" s="5"/>
      <c r="T259" s="5"/>
      <c r="U259" s="5"/>
    </row>
    <row r="260" spans="1:21" ht="13.8" thickBot="1" x14ac:dyDescent="0.3">
      <c r="B260" s="182"/>
      <c r="C260" s="182" t="s">
        <v>281</v>
      </c>
      <c r="D260" s="188">
        <f>F302/2</f>
        <v>59.5</v>
      </c>
      <c r="E260" s="182" t="s">
        <v>282</v>
      </c>
      <c r="F260" s="74">
        <v>100</v>
      </c>
      <c r="G260" s="184" t="s">
        <v>256</v>
      </c>
      <c r="H260" s="74">
        <v>1.5</v>
      </c>
      <c r="I260" s="188" t="s">
        <v>257</v>
      </c>
      <c r="J260" s="185">
        <f>H260*F260</f>
        <v>150</v>
      </c>
      <c r="K260" s="188" t="s">
        <v>57</v>
      </c>
      <c r="L260" s="185"/>
      <c r="M260" s="185"/>
    </row>
    <row r="261" spans="1:21" ht="13.8" thickBot="1" x14ac:dyDescent="0.3">
      <c r="B261" s="182"/>
      <c r="C261" s="182" t="s">
        <v>283</v>
      </c>
      <c r="D261" s="188">
        <f>D260</f>
        <v>59.5</v>
      </c>
      <c r="E261" s="182" t="s">
        <v>282</v>
      </c>
      <c r="F261" s="74">
        <v>1</v>
      </c>
      <c r="G261" s="184" t="s">
        <v>212</v>
      </c>
      <c r="H261" s="74">
        <v>400</v>
      </c>
      <c r="I261" s="188" t="s">
        <v>206</v>
      </c>
      <c r="J261" s="185">
        <f t="shared" ref="J261:J265" si="32">H261*F261</f>
        <v>400</v>
      </c>
      <c r="K261" s="188" t="s">
        <v>57</v>
      </c>
      <c r="L261" s="185"/>
      <c r="M261" s="185"/>
    </row>
    <row r="262" spans="1:21" ht="13.8" thickBot="1" x14ac:dyDescent="0.3">
      <c r="B262" s="182"/>
      <c r="C262" s="182" t="s">
        <v>633</v>
      </c>
      <c r="D262" s="185"/>
      <c r="E262" s="188"/>
      <c r="F262" s="74">
        <v>300</v>
      </c>
      <c r="G262" s="184" t="s">
        <v>256</v>
      </c>
      <c r="H262" s="74">
        <v>2.2999999999999998</v>
      </c>
      <c r="I262" s="188" t="s">
        <v>257</v>
      </c>
      <c r="J262" s="185">
        <f t="shared" si="32"/>
        <v>690</v>
      </c>
      <c r="K262" s="188" t="s">
        <v>57</v>
      </c>
      <c r="L262" s="185"/>
      <c r="M262" s="185"/>
    </row>
    <row r="263" spans="1:21" ht="13.8" thickBot="1" x14ac:dyDescent="0.3">
      <c r="B263" s="182"/>
      <c r="C263" s="182" t="s">
        <v>285</v>
      </c>
      <c r="D263" s="185"/>
      <c r="E263" s="188"/>
      <c r="F263" s="74">
        <v>1.48</v>
      </c>
      <c r="G263" s="184" t="s">
        <v>256</v>
      </c>
      <c r="H263" s="74">
        <v>1.6</v>
      </c>
      <c r="I263" s="188" t="s">
        <v>257</v>
      </c>
      <c r="J263" s="185">
        <f t="shared" si="32"/>
        <v>2.3679999999999999</v>
      </c>
      <c r="K263" s="188" t="s">
        <v>57</v>
      </c>
      <c r="L263" s="185"/>
      <c r="M263" s="185"/>
    </row>
    <row r="264" spans="1:21" ht="13.8" thickBot="1" x14ac:dyDescent="0.3">
      <c r="B264" s="182"/>
      <c r="C264" s="182" t="s">
        <v>286</v>
      </c>
      <c r="D264" s="185"/>
      <c r="E264" s="188"/>
      <c r="F264" s="74"/>
      <c r="G264" s="184"/>
      <c r="H264" s="74"/>
      <c r="I264" s="188"/>
      <c r="J264" s="185">
        <f t="shared" si="32"/>
        <v>0</v>
      </c>
      <c r="K264" s="188" t="s">
        <v>57</v>
      </c>
      <c r="L264" s="185"/>
      <c r="M264" s="185"/>
    </row>
    <row r="265" spans="1:21" ht="13.8" thickBot="1" x14ac:dyDescent="0.3">
      <c r="B265" s="185"/>
      <c r="C265" s="182" t="s">
        <v>286</v>
      </c>
      <c r="D265" s="185"/>
      <c r="E265" s="185"/>
      <c r="F265" s="74"/>
      <c r="G265" s="185"/>
      <c r="H265" s="74"/>
      <c r="I265" s="185"/>
      <c r="J265" s="185">
        <f t="shared" si="32"/>
        <v>0</v>
      </c>
      <c r="K265" s="188" t="s">
        <v>57</v>
      </c>
      <c r="L265" s="185"/>
      <c r="M265" s="185"/>
    </row>
    <row r="266" spans="1:21" s="5" customFormat="1" x14ac:dyDescent="0.25">
      <c r="A266" s="879"/>
      <c r="B266" s="207"/>
      <c r="C266" s="207" t="s">
        <v>54</v>
      </c>
      <c r="D266" s="207"/>
      <c r="E266" s="207"/>
      <c r="F266" s="207"/>
      <c r="G266" s="207"/>
      <c r="H266" s="207"/>
      <c r="I266" s="207"/>
      <c r="J266" s="207">
        <f>SUM(J259:J265)</f>
        <v>1392.3679999999999</v>
      </c>
      <c r="K266" s="208" t="s">
        <v>57</v>
      </c>
      <c r="L266" s="207"/>
      <c r="M266" s="207"/>
      <c r="N266"/>
      <c r="O266"/>
      <c r="P266"/>
      <c r="Q266"/>
      <c r="R266"/>
      <c r="S266"/>
      <c r="T266"/>
      <c r="U266"/>
    </row>
    <row r="267" spans="1:21" x14ac:dyDescent="0.25">
      <c r="B267" s="185"/>
      <c r="C267" s="185"/>
      <c r="D267" s="185"/>
      <c r="E267" s="185"/>
      <c r="F267" s="185"/>
      <c r="G267" s="185"/>
      <c r="H267" s="185"/>
      <c r="I267" s="185"/>
      <c r="J267" s="185"/>
      <c r="K267" s="185"/>
      <c r="L267" s="185"/>
      <c r="M267" s="185"/>
    </row>
    <row r="269" spans="1:21" ht="15.6" x14ac:dyDescent="0.3">
      <c r="B269" s="88" t="s">
        <v>634</v>
      </c>
      <c r="C269" s="79"/>
      <c r="D269" s="79"/>
      <c r="E269" s="79"/>
      <c r="F269" s="79"/>
      <c r="G269" s="79"/>
      <c r="H269" s="79"/>
      <c r="I269" s="79"/>
      <c r="J269" s="79"/>
      <c r="K269" s="79"/>
      <c r="L269" s="79"/>
      <c r="M269" s="79"/>
      <c r="N269" s="5"/>
      <c r="O269" s="5"/>
      <c r="P269" s="5"/>
      <c r="Q269" s="5"/>
      <c r="R269" s="5"/>
      <c r="S269" s="5"/>
      <c r="T269" s="5"/>
      <c r="U269" s="5"/>
    </row>
    <row r="270" spans="1:21" ht="15.6" x14ac:dyDescent="0.3">
      <c r="B270" s="88"/>
      <c r="C270" s="79"/>
      <c r="D270" s="79"/>
      <c r="E270" s="79"/>
      <c r="F270" s="79"/>
      <c r="G270" s="79"/>
      <c r="H270" s="79"/>
      <c r="I270" s="79"/>
      <c r="J270" s="79"/>
      <c r="K270" s="79"/>
      <c r="L270" s="79"/>
      <c r="M270" s="79"/>
    </row>
    <row r="271" spans="1:21" ht="97.2" customHeight="1" thickBot="1" x14ac:dyDescent="0.3">
      <c r="B271" s="1096" t="s">
        <v>607</v>
      </c>
      <c r="C271" s="1096"/>
      <c r="D271" s="1096"/>
      <c r="E271" s="1096"/>
      <c r="F271" s="1096"/>
      <c r="G271" s="1096"/>
      <c r="H271" s="1096"/>
      <c r="I271" s="1096"/>
      <c r="J271" s="1096"/>
      <c r="K271" s="1096"/>
      <c r="L271" s="1096"/>
      <c r="M271" s="1096"/>
    </row>
    <row r="272" spans="1:21" ht="27" customHeight="1" thickBot="1" x14ac:dyDescent="0.3">
      <c r="B272" s="1117" t="s">
        <v>374</v>
      </c>
      <c r="C272" s="1118"/>
      <c r="D272" s="1118"/>
      <c r="E272" s="1119"/>
      <c r="F272" s="83"/>
      <c r="G272" s="83"/>
      <c r="H272" s="84"/>
      <c r="I272" s="84"/>
      <c r="J272" s="83"/>
      <c r="K272" s="83"/>
      <c r="L272" s="84"/>
      <c r="M272" s="84"/>
    </row>
    <row r="273" spans="2:57" ht="15.6" x14ac:dyDescent="0.3">
      <c r="B273" s="88"/>
      <c r="C273" s="79"/>
      <c r="D273" s="79"/>
      <c r="E273" s="83"/>
      <c r="F273" s="83"/>
      <c r="G273" s="83"/>
      <c r="H273" s="84"/>
      <c r="I273" s="84"/>
      <c r="J273" s="83"/>
      <c r="K273" s="83"/>
      <c r="L273" s="84"/>
      <c r="M273" s="84"/>
    </row>
    <row r="274" spans="2:57" ht="15.6" x14ac:dyDescent="0.3">
      <c r="B274" s="88"/>
      <c r="C274" s="79"/>
      <c r="D274" s="79"/>
      <c r="E274" s="1069" t="s">
        <v>290</v>
      </c>
      <c r="F274" s="1069"/>
      <c r="G274" s="1069"/>
      <c r="H274" s="1070" t="s">
        <v>113</v>
      </c>
      <c r="I274" s="1070"/>
      <c r="J274" s="1069" t="s">
        <v>291</v>
      </c>
      <c r="K274" s="1069"/>
      <c r="L274" s="1070" t="s">
        <v>113</v>
      </c>
      <c r="M274" s="1070"/>
    </row>
    <row r="275" spans="2:57" ht="15.6" thickBot="1" x14ac:dyDescent="0.3">
      <c r="B275" s="78"/>
      <c r="C275" s="79"/>
      <c r="D275" s="79"/>
      <c r="E275" s="79"/>
      <c r="F275" s="79"/>
      <c r="G275" s="79"/>
      <c r="H275" s="79"/>
      <c r="I275" s="79"/>
      <c r="J275" s="79"/>
      <c r="K275" s="79"/>
      <c r="L275" s="79"/>
      <c r="M275" s="79"/>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row>
    <row r="276" spans="2:57" ht="13.8" thickBot="1" x14ac:dyDescent="0.3">
      <c r="B276" s="79"/>
      <c r="C276" s="80" t="str">
        <f>AE30</f>
        <v>Vinterfiberduk borttagning</v>
      </c>
      <c r="D276" s="79"/>
      <c r="E276" s="79"/>
      <c r="F276" s="824">
        <f>BD30</f>
        <v>2</v>
      </c>
      <c r="G276" s="82" t="s">
        <v>293</v>
      </c>
      <c r="H276" s="93">
        <v>14.5</v>
      </c>
      <c r="I276" s="82" t="s">
        <v>294</v>
      </c>
      <c r="J276" s="79"/>
      <c r="K276" s="82" t="s">
        <v>293</v>
      </c>
      <c r="L276" s="93">
        <v>14.5</v>
      </c>
      <c r="M276" s="82" t="s">
        <v>294</v>
      </c>
    </row>
    <row r="277" spans="2:57" x14ac:dyDescent="0.25">
      <c r="B277" s="79"/>
      <c r="C277" s="80" t="str">
        <f t="shared" ref="C277:C291" si="33">AE31</f>
        <v>Borstning av växtbestondet</v>
      </c>
      <c r="D277" s="79"/>
      <c r="E277" s="79"/>
      <c r="F277" s="824">
        <f t="shared" ref="F277:F300" si="34">BD31</f>
        <v>3</v>
      </c>
      <c r="G277" s="82" t="s">
        <v>293</v>
      </c>
      <c r="H277" s="90">
        <f t="shared" ref="H277:H292" si="35">$H$276</f>
        <v>14.5</v>
      </c>
      <c r="I277" s="82" t="s">
        <v>294</v>
      </c>
      <c r="J277" s="79"/>
      <c r="K277" s="82" t="s">
        <v>293</v>
      </c>
      <c r="L277" s="90">
        <f t="shared" ref="L277:L300" si="36">$L$165</f>
        <v>14.5</v>
      </c>
      <c r="M277" s="82" t="s">
        <v>294</v>
      </c>
    </row>
    <row r="278" spans="2:57" x14ac:dyDescent="0.25">
      <c r="B278" s="79"/>
      <c r="C278" s="80" t="str">
        <f t="shared" si="33"/>
        <v>Frostskydd</v>
      </c>
      <c r="D278" s="79"/>
      <c r="E278" s="79"/>
      <c r="F278" s="824">
        <f t="shared" si="34"/>
        <v>8</v>
      </c>
      <c r="G278" s="82" t="s">
        <v>293</v>
      </c>
      <c r="H278" s="90">
        <f t="shared" si="35"/>
        <v>14.5</v>
      </c>
      <c r="I278" s="82" t="s">
        <v>294</v>
      </c>
      <c r="J278" s="79"/>
      <c r="K278" s="82" t="s">
        <v>293</v>
      </c>
      <c r="L278" s="90">
        <f t="shared" si="36"/>
        <v>14.5</v>
      </c>
      <c r="M278" s="82" t="s">
        <v>294</v>
      </c>
    </row>
    <row r="279" spans="2:57" x14ac:dyDescent="0.25">
      <c r="B279" s="79"/>
      <c r="C279" s="80" t="str">
        <f t="shared" si="33"/>
        <v>Pollinering</v>
      </c>
      <c r="D279" s="79"/>
      <c r="E279" s="79"/>
      <c r="F279" s="824">
        <f t="shared" si="34"/>
        <v>4</v>
      </c>
      <c r="G279" s="82" t="s">
        <v>293</v>
      </c>
      <c r="H279" s="90">
        <f t="shared" si="35"/>
        <v>14.5</v>
      </c>
      <c r="I279" s="82" t="s">
        <v>294</v>
      </c>
      <c r="J279" s="79"/>
      <c r="K279" s="82" t="s">
        <v>293</v>
      </c>
      <c r="L279" s="90">
        <f t="shared" si="36"/>
        <v>14.5</v>
      </c>
      <c r="M279" s="82" t="s">
        <v>294</v>
      </c>
    </row>
    <row r="280" spans="2:57" x14ac:dyDescent="0.25">
      <c r="B280" s="79"/>
      <c r="C280" s="80" t="str">
        <f t="shared" si="33"/>
        <v xml:space="preserve">Skötsel av radmellanrums gräs </v>
      </c>
      <c r="D280" s="79"/>
      <c r="E280" s="79"/>
      <c r="F280" s="824">
        <f t="shared" si="34"/>
        <v>12</v>
      </c>
      <c r="G280" s="82" t="s">
        <v>293</v>
      </c>
      <c r="H280" s="90">
        <f t="shared" si="35"/>
        <v>14.5</v>
      </c>
      <c r="I280" s="82" t="s">
        <v>294</v>
      </c>
      <c r="J280" s="79"/>
      <c r="K280" s="82" t="s">
        <v>293</v>
      </c>
      <c r="L280" s="90">
        <f t="shared" si="36"/>
        <v>14.5</v>
      </c>
      <c r="M280" s="82" t="s">
        <v>294</v>
      </c>
    </row>
    <row r="281" spans="2:57" x14ac:dyDescent="0.25">
      <c r="B281" s="79"/>
      <c r="C281" s="80" t="str">
        <f t="shared" si="33"/>
        <v>Borttagning av revor</v>
      </c>
      <c r="D281" s="79"/>
      <c r="E281" s="79"/>
      <c r="F281" s="824">
        <f t="shared" si="34"/>
        <v>30</v>
      </c>
      <c r="G281" s="82" t="s">
        <v>293</v>
      </c>
      <c r="H281" s="90">
        <f t="shared" si="35"/>
        <v>14.5</v>
      </c>
      <c r="I281" s="82" t="s">
        <v>294</v>
      </c>
      <c r="J281" s="79"/>
      <c r="K281" s="82" t="s">
        <v>293</v>
      </c>
      <c r="L281" s="90">
        <f t="shared" si="36"/>
        <v>14.5</v>
      </c>
      <c r="M281" s="82" t="s">
        <v>294</v>
      </c>
    </row>
    <row r="282" spans="2:57" x14ac:dyDescent="0.25">
      <c r="B282" s="79"/>
      <c r="C282" s="80" t="str">
        <f t="shared" si="33"/>
        <v>Växtskydd, sjukdomar</v>
      </c>
      <c r="D282" s="79"/>
      <c r="E282" s="79"/>
      <c r="F282" s="824">
        <f t="shared" si="34"/>
        <v>6</v>
      </c>
      <c r="G282" s="82" t="s">
        <v>293</v>
      </c>
      <c r="H282" s="90">
        <f t="shared" si="35"/>
        <v>14.5</v>
      </c>
      <c r="I282" s="82" t="s">
        <v>294</v>
      </c>
      <c r="J282" s="79"/>
      <c r="K282" s="82" t="s">
        <v>293</v>
      </c>
      <c r="L282" s="90">
        <f t="shared" si="36"/>
        <v>14.5</v>
      </c>
      <c r="M282" s="82" t="s">
        <v>294</v>
      </c>
    </row>
    <row r="283" spans="2:57" x14ac:dyDescent="0.25">
      <c r="B283" s="79"/>
      <c r="C283" s="80" t="str">
        <f t="shared" si="33"/>
        <v>Växtskydd, skadedjur</v>
      </c>
      <c r="D283" s="79"/>
      <c r="E283" s="79"/>
      <c r="F283" s="824">
        <f t="shared" si="34"/>
        <v>8</v>
      </c>
      <c r="G283" s="82" t="s">
        <v>293</v>
      </c>
      <c r="H283" s="90">
        <f t="shared" si="35"/>
        <v>14.5</v>
      </c>
      <c r="I283" s="82" t="s">
        <v>294</v>
      </c>
      <c r="J283" s="79"/>
      <c r="K283" s="82" t="s">
        <v>293</v>
      </c>
      <c r="L283" s="90">
        <f t="shared" si="36"/>
        <v>14.5</v>
      </c>
      <c r="M283" s="82" t="s">
        <v>294</v>
      </c>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row>
    <row r="284" spans="2:57" x14ac:dyDescent="0.25">
      <c r="B284" s="79"/>
      <c r="C284" s="80" t="str">
        <f t="shared" si="33"/>
        <v>Ogräsrensning</v>
      </c>
      <c r="D284" s="79"/>
      <c r="E284" s="79"/>
      <c r="F284" s="824"/>
      <c r="G284" s="82" t="s">
        <v>293</v>
      </c>
      <c r="H284" s="90">
        <f t="shared" si="35"/>
        <v>14.5</v>
      </c>
      <c r="I284" s="82" t="s">
        <v>294</v>
      </c>
      <c r="J284" s="823">
        <f>BD38</f>
        <v>40</v>
      </c>
      <c r="K284" s="82" t="s">
        <v>293</v>
      </c>
      <c r="L284" s="90">
        <f t="shared" si="36"/>
        <v>14.5</v>
      </c>
      <c r="M284" s="82" t="s">
        <v>294</v>
      </c>
    </row>
    <row r="285" spans="2:57" x14ac:dyDescent="0.25">
      <c r="B285" s="79"/>
      <c r="C285" s="80" t="str">
        <f>AE39</f>
        <v xml:space="preserve">Vårservice av bevattningssystem </v>
      </c>
      <c r="D285" s="79"/>
      <c r="E285" s="79"/>
      <c r="F285" s="824">
        <f t="shared" si="34"/>
        <v>4</v>
      </c>
      <c r="G285" s="82" t="s">
        <v>293</v>
      </c>
      <c r="H285" s="90">
        <f t="shared" si="35"/>
        <v>14.5</v>
      </c>
      <c r="I285" s="82" t="s">
        <v>294</v>
      </c>
      <c r="J285" s="79"/>
      <c r="K285" s="82" t="s">
        <v>293</v>
      </c>
      <c r="L285" s="90">
        <f t="shared" si="36"/>
        <v>14.5</v>
      </c>
      <c r="M285" s="82" t="s">
        <v>294</v>
      </c>
    </row>
    <row r="286" spans="2:57" x14ac:dyDescent="0.25">
      <c r="B286" s="79"/>
      <c r="C286" s="80" t="str">
        <f t="shared" si="33"/>
        <v>Bevattning</v>
      </c>
      <c r="D286" s="79"/>
      <c r="E286" s="79"/>
      <c r="F286" s="824">
        <f t="shared" si="34"/>
        <v>15</v>
      </c>
      <c r="G286" s="82" t="s">
        <v>293</v>
      </c>
      <c r="H286" s="90">
        <f t="shared" si="35"/>
        <v>14.5</v>
      </c>
      <c r="I286" s="82" t="s">
        <v>294</v>
      </c>
      <c r="J286" s="79"/>
      <c r="K286" s="82" t="s">
        <v>293</v>
      </c>
      <c r="L286" s="90">
        <f t="shared" si="36"/>
        <v>14.5</v>
      </c>
      <c r="M286" s="82" t="s">
        <v>294</v>
      </c>
    </row>
    <row r="287" spans="2:57" x14ac:dyDescent="0.25">
      <c r="B287" s="79"/>
      <c r="C287" s="80" t="str">
        <f t="shared" si="33"/>
        <v>Rengöring av lager och andra utrymmen</v>
      </c>
      <c r="D287" s="79"/>
      <c r="E287" s="79"/>
      <c r="F287" s="824">
        <f t="shared" si="34"/>
        <v>9</v>
      </c>
      <c r="G287" s="82" t="s">
        <v>293</v>
      </c>
      <c r="H287" s="90">
        <f t="shared" si="35"/>
        <v>14.5</v>
      </c>
      <c r="I287" s="82" t="s">
        <v>294</v>
      </c>
      <c r="J287" s="79"/>
      <c r="K287" s="82" t="s">
        <v>293</v>
      </c>
      <c r="L287" s="90">
        <f t="shared" si="36"/>
        <v>14.5</v>
      </c>
      <c r="M287" s="82" t="s">
        <v>294</v>
      </c>
    </row>
    <row r="288" spans="2:57" x14ac:dyDescent="0.25">
      <c r="B288" s="79"/>
      <c r="C288" s="80" t="str">
        <f t="shared" si="33"/>
        <v>Skörd</v>
      </c>
      <c r="D288" s="79"/>
      <c r="E288" s="79"/>
      <c r="F288" s="824"/>
      <c r="G288" s="82" t="s">
        <v>293</v>
      </c>
      <c r="H288" s="90">
        <f t="shared" si="35"/>
        <v>14.5</v>
      </c>
      <c r="I288" s="82" t="s">
        <v>294</v>
      </c>
      <c r="J288" s="824">
        <f>BD42</f>
        <v>30</v>
      </c>
      <c r="K288" s="82" t="s">
        <v>293</v>
      </c>
      <c r="L288" s="90">
        <f t="shared" si="36"/>
        <v>14.5</v>
      </c>
      <c r="M288" s="82" t="s">
        <v>294</v>
      </c>
    </row>
    <row r="289" spans="1:57" x14ac:dyDescent="0.25">
      <c r="B289" s="79"/>
      <c r="C289" s="80" t="str">
        <f t="shared" si="33"/>
        <v>Hantering och transport av skörd från fält till lager</v>
      </c>
      <c r="D289" s="79"/>
      <c r="E289" s="79"/>
      <c r="F289" s="824"/>
      <c r="G289" s="82" t="s">
        <v>293</v>
      </c>
      <c r="H289" s="90">
        <f t="shared" si="35"/>
        <v>14.5</v>
      </c>
      <c r="I289" s="82" t="s">
        <v>294</v>
      </c>
      <c r="J289" s="824">
        <f>BD43</f>
        <v>10</v>
      </c>
      <c r="K289" s="82" t="s">
        <v>293</v>
      </c>
      <c r="L289" s="90">
        <f t="shared" si="36"/>
        <v>14.5</v>
      </c>
      <c r="M289" s="82" t="s">
        <v>294</v>
      </c>
    </row>
    <row r="290" spans="1:57" x14ac:dyDescent="0.25">
      <c r="B290" s="79"/>
      <c r="C290" s="80" t="str">
        <f t="shared" si="33"/>
        <v>Försäljning av skörden</v>
      </c>
      <c r="D290" s="79"/>
      <c r="E290" s="79"/>
      <c r="F290" s="824">
        <f t="shared" si="34"/>
        <v>8</v>
      </c>
      <c r="G290" s="82" t="s">
        <v>293</v>
      </c>
      <c r="H290" s="90">
        <f t="shared" si="35"/>
        <v>14.5</v>
      </c>
      <c r="I290" s="82" t="s">
        <v>294</v>
      </c>
      <c r="J290" s="79"/>
      <c r="K290" s="82" t="s">
        <v>293</v>
      </c>
      <c r="L290" s="90">
        <f t="shared" si="36"/>
        <v>14.5</v>
      </c>
      <c r="M290" s="82" t="s">
        <v>294</v>
      </c>
    </row>
    <row r="291" spans="1:57" x14ac:dyDescent="0.25">
      <c r="B291" s="79"/>
      <c r="C291" s="80" t="str">
        <f t="shared" si="33"/>
        <v>Utbildning, skatter, stöd, odling</v>
      </c>
      <c r="D291" s="79"/>
      <c r="E291" s="79"/>
      <c r="F291" s="824">
        <f t="shared" si="34"/>
        <v>12</v>
      </c>
      <c r="G291" s="82" t="s">
        <v>293</v>
      </c>
      <c r="H291" s="90">
        <f t="shared" si="35"/>
        <v>14.5</v>
      </c>
      <c r="I291" s="82" t="s">
        <v>294</v>
      </c>
      <c r="J291" s="79"/>
      <c r="K291" s="82" t="s">
        <v>293</v>
      </c>
      <c r="L291" s="90">
        <f t="shared" si="36"/>
        <v>14.5</v>
      </c>
      <c r="M291" s="82" t="s">
        <v>294</v>
      </c>
    </row>
    <row r="292" spans="1:57" x14ac:dyDescent="0.25">
      <c r="B292" s="79"/>
      <c r="C292" s="80" t="str">
        <f>AE46</f>
        <v>Bokslut</v>
      </c>
      <c r="D292" s="81"/>
      <c r="E292" s="81"/>
      <c r="F292" s="824">
        <f t="shared" si="34"/>
        <v>6</v>
      </c>
      <c r="G292" s="82" t="s">
        <v>293</v>
      </c>
      <c r="H292" s="90">
        <f t="shared" si="35"/>
        <v>14.5</v>
      </c>
      <c r="I292" s="82" t="s">
        <v>294</v>
      </c>
      <c r="J292" s="79"/>
      <c r="K292" s="82" t="s">
        <v>293</v>
      </c>
      <c r="L292" s="90">
        <f t="shared" si="36"/>
        <v>14.5</v>
      </c>
      <c r="M292" s="82" t="s">
        <v>294</v>
      </c>
    </row>
    <row r="293" spans="1:57" x14ac:dyDescent="0.25">
      <c r="B293" s="79"/>
      <c r="C293" s="80" t="str">
        <f>AE47</f>
        <v>Företagshälsovård</v>
      </c>
      <c r="D293" s="81"/>
      <c r="E293" s="81"/>
      <c r="F293" s="824">
        <f t="shared" si="34"/>
        <v>2</v>
      </c>
      <c r="G293" s="82" t="s">
        <v>293</v>
      </c>
      <c r="H293" s="90">
        <f t="shared" ref="H293:H300" si="37">$H$276</f>
        <v>14.5</v>
      </c>
      <c r="I293" s="82" t="s">
        <v>294</v>
      </c>
      <c r="J293" s="79"/>
      <c r="K293" s="82" t="s">
        <v>293</v>
      </c>
      <c r="L293" s="90">
        <f t="shared" si="36"/>
        <v>14.5</v>
      </c>
      <c r="M293" s="82" t="s">
        <v>294</v>
      </c>
    </row>
    <row r="294" spans="1:57" x14ac:dyDescent="0.25">
      <c r="B294" s="79"/>
      <c r="C294" s="80" t="str">
        <f t="shared" ref="C294:C300" si="38">AE48</f>
        <v>Strategisk planering</v>
      </c>
      <c r="D294" s="81"/>
      <c r="E294" s="81"/>
      <c r="F294" s="824">
        <f t="shared" si="34"/>
        <v>4</v>
      </c>
      <c r="G294" s="82" t="s">
        <v>293</v>
      </c>
      <c r="H294" s="90">
        <f t="shared" si="37"/>
        <v>14.5</v>
      </c>
      <c r="I294" s="82" t="s">
        <v>294</v>
      </c>
      <c r="J294" s="79"/>
      <c r="K294" s="82" t="s">
        <v>293</v>
      </c>
      <c r="L294" s="90">
        <f t="shared" si="36"/>
        <v>14.5</v>
      </c>
      <c r="M294" s="82" t="s">
        <v>294</v>
      </c>
    </row>
    <row r="295" spans="1:57" x14ac:dyDescent="0.25">
      <c r="B295" s="79"/>
      <c r="C295" s="80" t="str">
        <f t="shared" si="38"/>
        <v>Inköp av produktionsinsatser</v>
      </c>
      <c r="D295" s="81"/>
      <c r="E295" s="81"/>
      <c r="F295" s="824">
        <f t="shared" si="34"/>
        <v>7</v>
      </c>
      <c r="G295" s="82" t="s">
        <v>293</v>
      </c>
      <c r="H295" s="90">
        <f t="shared" si="37"/>
        <v>14.5</v>
      </c>
      <c r="I295" s="82" t="s">
        <v>294</v>
      </c>
      <c r="J295" s="79"/>
      <c r="K295" s="82" t="s">
        <v>293</v>
      </c>
      <c r="L295" s="90">
        <f t="shared" si="36"/>
        <v>14.5</v>
      </c>
      <c r="M295" s="82" t="s">
        <v>294</v>
      </c>
    </row>
    <row r="296" spans="1:57" x14ac:dyDescent="0.25">
      <c r="B296" s="79"/>
      <c r="C296" s="80" t="str">
        <f t="shared" si="38"/>
        <v>Personalledning</v>
      </c>
      <c r="D296" s="81"/>
      <c r="E296" s="81"/>
      <c r="F296" s="824">
        <f t="shared" si="34"/>
        <v>24</v>
      </c>
      <c r="G296" s="82" t="s">
        <v>293</v>
      </c>
      <c r="H296" s="90">
        <f t="shared" si="37"/>
        <v>14.5</v>
      </c>
      <c r="I296" s="82" t="s">
        <v>294</v>
      </c>
      <c r="J296" s="79"/>
      <c r="K296" s="82" t="s">
        <v>293</v>
      </c>
      <c r="L296" s="90">
        <f t="shared" si="36"/>
        <v>14.5</v>
      </c>
      <c r="M296" s="82" t="s">
        <v>294</v>
      </c>
    </row>
    <row r="297" spans="1:57" x14ac:dyDescent="0.25">
      <c r="B297" s="79"/>
      <c r="C297" s="80" t="str">
        <f t="shared" si="38"/>
        <v>Marknadsföring</v>
      </c>
      <c r="D297" s="81"/>
      <c r="E297" s="81"/>
      <c r="F297" s="824">
        <f t="shared" si="34"/>
        <v>10</v>
      </c>
      <c r="G297" s="82" t="s">
        <v>293</v>
      </c>
      <c r="H297" s="90">
        <f t="shared" si="37"/>
        <v>14.5</v>
      </c>
      <c r="I297" s="82" t="s">
        <v>294</v>
      </c>
      <c r="J297" s="79"/>
      <c r="K297" s="82" t="s">
        <v>293</v>
      </c>
      <c r="L297" s="90">
        <f t="shared" si="36"/>
        <v>14.5</v>
      </c>
      <c r="M297" s="82" t="s">
        <v>294</v>
      </c>
    </row>
    <row r="298" spans="1:57" x14ac:dyDescent="0.25">
      <c r="B298" s="79"/>
      <c r="C298" s="80" t="str">
        <f t="shared" si="38"/>
        <v>Arbetsmoment X</v>
      </c>
      <c r="D298" s="81"/>
      <c r="E298" s="81"/>
      <c r="F298" s="824">
        <f t="shared" si="34"/>
        <v>0</v>
      </c>
      <c r="G298" s="82" t="s">
        <v>293</v>
      </c>
      <c r="H298" s="90">
        <f t="shared" si="37"/>
        <v>14.5</v>
      </c>
      <c r="I298" s="82" t="s">
        <v>294</v>
      </c>
      <c r="J298" s="79"/>
      <c r="K298" s="82" t="s">
        <v>293</v>
      </c>
      <c r="L298" s="90">
        <f t="shared" si="36"/>
        <v>14.5</v>
      </c>
      <c r="M298" s="82" t="s">
        <v>294</v>
      </c>
    </row>
    <row r="299" spans="1:57" ht="15" customHeight="1" x14ac:dyDescent="0.25">
      <c r="B299" s="79"/>
      <c r="C299" s="80" t="str">
        <f t="shared" si="38"/>
        <v>Arbetsmoment X</v>
      </c>
      <c r="D299" s="81"/>
      <c r="E299" s="81"/>
      <c r="F299" s="824">
        <f t="shared" si="34"/>
        <v>0</v>
      </c>
      <c r="G299" s="82" t="s">
        <v>293</v>
      </c>
      <c r="H299" s="90">
        <f t="shared" si="37"/>
        <v>14.5</v>
      </c>
      <c r="I299" s="82" t="s">
        <v>294</v>
      </c>
      <c r="J299" s="79"/>
      <c r="K299" s="82" t="s">
        <v>293</v>
      </c>
      <c r="L299" s="90">
        <f t="shared" si="36"/>
        <v>14.5</v>
      </c>
      <c r="M299" s="82" t="s">
        <v>294</v>
      </c>
    </row>
    <row r="300" spans="1:57" ht="15" customHeight="1" thickBot="1" x14ac:dyDescent="0.3">
      <c r="B300" s="79"/>
      <c r="C300" s="80" t="str">
        <f t="shared" si="38"/>
        <v>Arbetsmoment X</v>
      </c>
      <c r="D300" s="81"/>
      <c r="E300" s="81"/>
      <c r="F300" s="824">
        <f t="shared" si="34"/>
        <v>0</v>
      </c>
      <c r="G300" s="82" t="s">
        <v>293</v>
      </c>
      <c r="H300" s="90">
        <f t="shared" si="37"/>
        <v>14.5</v>
      </c>
      <c r="I300" s="82" t="s">
        <v>294</v>
      </c>
      <c r="J300" s="79"/>
      <c r="K300" s="82" t="s">
        <v>293</v>
      </c>
      <c r="L300" s="90">
        <f t="shared" si="36"/>
        <v>14.5</v>
      </c>
      <c r="M300" s="82" t="s">
        <v>294</v>
      </c>
    </row>
    <row r="301" spans="1:57" ht="13.8" thickBot="1" x14ac:dyDescent="0.3">
      <c r="B301" s="79"/>
      <c r="C301" s="80" t="s">
        <v>38</v>
      </c>
      <c r="D301" s="79"/>
      <c r="E301" s="79"/>
      <c r="F301" s="79"/>
      <c r="G301" s="82"/>
      <c r="H301" s="82"/>
      <c r="I301" s="82"/>
      <c r="J301" s="79">
        <f>'Gårdens info'!Y21*'Gårdens info'!Y20/('Gårdens info'!U20+'Gårdens info'!Y20)*0.9</f>
        <v>2520</v>
      </c>
      <c r="K301" s="82" t="s">
        <v>8</v>
      </c>
      <c r="L301" s="546">
        <v>1.5</v>
      </c>
      <c r="M301" s="82" t="s">
        <v>206</v>
      </c>
    </row>
    <row r="302" spans="1:57" s="5" customFormat="1" x14ac:dyDescent="0.25">
      <c r="A302" s="879"/>
      <c r="B302" s="209"/>
      <c r="C302" s="210" t="s">
        <v>635</v>
      </c>
      <c r="D302" s="211"/>
      <c r="E302" s="211"/>
      <c r="F302" s="212">
        <f>SUM(F276:F282)+SUM(F284:F292)</f>
        <v>119</v>
      </c>
      <c r="G302" s="209" t="s">
        <v>293</v>
      </c>
      <c r="H302" s="213">
        <f>F302*H276</f>
        <v>1725.5</v>
      </c>
      <c r="I302" s="209" t="s">
        <v>57</v>
      </c>
      <c r="J302" s="212">
        <f>SUM(J276:J300)</f>
        <v>80</v>
      </c>
      <c r="K302" s="209" t="s">
        <v>293</v>
      </c>
      <c r="L302" s="213">
        <f>J302*L276+J301*L301</f>
        <v>4940</v>
      </c>
      <c r="M302" s="209" t="s">
        <v>57</v>
      </c>
      <c r="N302"/>
      <c r="O302"/>
      <c r="P302"/>
      <c r="Q302"/>
      <c r="R302"/>
      <c r="S302"/>
      <c r="T302"/>
      <c r="U302"/>
      <c r="AE302"/>
      <c r="AF302"/>
      <c r="AG302"/>
      <c r="AH302"/>
      <c r="AI302"/>
      <c r="AJ302"/>
      <c r="AK302"/>
      <c r="AL302"/>
      <c r="AM302"/>
      <c r="AN302"/>
      <c r="AO302"/>
      <c r="AP302"/>
      <c r="AQ302"/>
      <c r="AR302"/>
      <c r="AS302"/>
      <c r="AT302"/>
      <c r="AU302"/>
      <c r="AV302"/>
      <c r="AW302"/>
      <c r="AX302"/>
      <c r="AY302"/>
      <c r="AZ302"/>
      <c r="BA302"/>
      <c r="BB302"/>
      <c r="BC302"/>
      <c r="BD302"/>
      <c r="BE302"/>
    </row>
    <row r="303" spans="1:57" s="5" customFormat="1" x14ac:dyDescent="0.25">
      <c r="A303" s="879"/>
      <c r="B303" s="209"/>
      <c r="C303" s="210"/>
      <c r="D303" s="211"/>
      <c r="E303" s="211"/>
      <c r="F303" s="212"/>
      <c r="G303" s="209"/>
      <c r="H303" s="213"/>
      <c r="I303" s="209"/>
      <c r="J303" s="212"/>
      <c r="K303" s="209"/>
      <c r="L303" s="213"/>
      <c r="M303" s="209"/>
      <c r="N303"/>
      <c r="O303"/>
      <c r="P303"/>
      <c r="Q303"/>
      <c r="R303"/>
      <c r="S303"/>
      <c r="T303"/>
      <c r="U303"/>
      <c r="AE303"/>
      <c r="AF303"/>
      <c r="AG303"/>
      <c r="AH303"/>
      <c r="AI303"/>
      <c r="AJ303"/>
      <c r="AK303"/>
      <c r="AL303"/>
      <c r="AM303"/>
      <c r="AN303"/>
      <c r="AO303"/>
      <c r="AP303"/>
      <c r="AQ303"/>
      <c r="AR303"/>
      <c r="AS303"/>
      <c r="AT303"/>
      <c r="AU303"/>
      <c r="AV303"/>
      <c r="AW303"/>
      <c r="AX303"/>
      <c r="AY303"/>
      <c r="AZ303"/>
      <c r="BA303"/>
      <c r="BB303"/>
      <c r="BC303"/>
      <c r="BD303"/>
      <c r="BE303"/>
    </row>
    <row r="304" spans="1:57" ht="58.2" customHeight="1" thickBot="1" x14ac:dyDescent="0.3">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row>
    <row r="305" spans="1:57" ht="21.6" thickBot="1" x14ac:dyDescent="0.45">
      <c r="B305" s="1078" t="s">
        <v>581</v>
      </c>
      <c r="C305" s="1079"/>
      <c r="D305" s="1079"/>
      <c r="E305" s="1080"/>
      <c r="L305" s="1099" t="s">
        <v>241</v>
      </c>
      <c r="M305" s="1099"/>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row>
    <row r="306" spans="1:57" x14ac:dyDescent="0.25">
      <c r="N306" s="5"/>
      <c r="O306" s="5"/>
      <c r="P306" s="5"/>
      <c r="Q306" s="5"/>
      <c r="R306" s="5"/>
      <c r="S306" s="5"/>
      <c r="T306" s="5"/>
      <c r="U306" s="5"/>
    </row>
    <row r="307" spans="1:57" s="69" customFormat="1" ht="49.95" customHeight="1" x14ac:dyDescent="0.25">
      <c r="A307" s="868"/>
      <c r="B307" s="1128" t="s">
        <v>636</v>
      </c>
      <c r="C307" s="1128"/>
      <c r="D307" s="1128"/>
      <c r="E307" s="1128"/>
      <c r="F307" s="1128"/>
      <c r="G307" s="1128"/>
      <c r="H307" s="1128"/>
      <c r="I307" s="1128"/>
      <c r="J307" s="1128"/>
      <c r="K307" s="1128"/>
      <c r="L307" s="1128"/>
      <c r="M307" s="1128"/>
      <c r="N307"/>
      <c r="O307"/>
      <c r="P307"/>
      <c r="Q307"/>
      <c r="R307"/>
      <c r="S307"/>
      <c r="T307"/>
      <c r="U307"/>
      <c r="AE307"/>
      <c r="AF307"/>
      <c r="AG307"/>
      <c r="AH307"/>
      <c r="AI307"/>
      <c r="AJ307"/>
      <c r="AK307"/>
      <c r="AL307"/>
      <c r="AM307"/>
      <c r="AN307"/>
      <c r="AO307"/>
      <c r="AP307"/>
      <c r="AQ307"/>
      <c r="AR307"/>
      <c r="AS307"/>
      <c r="AT307"/>
      <c r="AU307"/>
      <c r="AV307"/>
      <c r="AW307"/>
      <c r="AX307"/>
      <c r="AY307"/>
      <c r="AZ307"/>
      <c r="BA307"/>
      <c r="BB307"/>
      <c r="BC307"/>
      <c r="BD307"/>
      <c r="BE307"/>
    </row>
    <row r="308" spans="1:57" ht="31.2" customHeight="1" x14ac:dyDescent="0.25"/>
    <row r="309" spans="1:57" ht="15.6" x14ac:dyDescent="0.3">
      <c r="B309" s="85" t="s">
        <v>637</v>
      </c>
      <c r="C309" s="51"/>
      <c r="D309" s="51"/>
      <c r="E309" s="51"/>
      <c r="F309" s="1075" t="s">
        <v>114</v>
      </c>
      <c r="G309" s="1075"/>
      <c r="H309" s="1076" t="s">
        <v>113</v>
      </c>
      <c r="I309" s="1076"/>
      <c r="J309" s="1075" t="s">
        <v>243</v>
      </c>
      <c r="K309" s="1075"/>
      <c r="L309" s="58"/>
      <c r="M309" s="58"/>
    </row>
    <row r="310" spans="1:57" ht="15.6" x14ac:dyDescent="0.3">
      <c r="B310" s="85"/>
      <c r="C310" s="51"/>
      <c r="D310" s="387" t="s">
        <v>495</v>
      </c>
      <c r="E310" s="51"/>
      <c r="F310" s="59"/>
      <c r="G310" s="59"/>
      <c r="H310" s="60"/>
      <c r="I310" s="60"/>
      <c r="J310" s="59"/>
      <c r="K310" s="59"/>
      <c r="L310" s="58"/>
      <c r="M310" s="58"/>
      <c r="N310" s="69"/>
      <c r="O310" s="69"/>
      <c r="P310" s="69"/>
      <c r="Q310" s="69"/>
      <c r="R310" s="69"/>
      <c r="S310" s="69"/>
      <c r="T310" s="69"/>
      <c r="U310" s="69"/>
    </row>
    <row r="311" spans="1:57" ht="55.2" customHeight="1" thickBot="1" x14ac:dyDescent="0.3">
      <c r="B311" s="171" t="s">
        <v>254</v>
      </c>
      <c r="C311" s="51"/>
      <c r="D311" s="51"/>
      <c r="E311" s="51"/>
      <c r="F311" s="53"/>
      <c r="G311" s="53"/>
      <c r="H311" s="52"/>
      <c r="I311" s="52"/>
      <c r="J311" s="58"/>
      <c r="K311" s="58"/>
      <c r="L311" s="58"/>
      <c r="M311" s="58"/>
    </row>
    <row r="312" spans="1:57" ht="13.8" thickBot="1" x14ac:dyDescent="0.3">
      <c r="B312" s="51"/>
      <c r="C312" s="51" t="s">
        <v>603</v>
      </c>
      <c r="D312" s="58"/>
      <c r="E312" s="51"/>
      <c r="F312" s="95">
        <v>7</v>
      </c>
      <c r="G312" s="53" t="s">
        <v>256</v>
      </c>
      <c r="H312" s="77">
        <v>4.5</v>
      </c>
      <c r="I312" s="52" t="s">
        <v>257</v>
      </c>
      <c r="J312" s="58">
        <f t="shared" ref="J312:J314" si="39">F312*H312</f>
        <v>31.5</v>
      </c>
      <c r="K312" s="51" t="s">
        <v>57</v>
      </c>
      <c r="L312" s="58"/>
      <c r="M312" s="58"/>
    </row>
    <row r="313" spans="1:57" ht="13.8" thickBot="1" x14ac:dyDescent="0.3">
      <c r="B313" s="51"/>
      <c r="C313" s="51" t="s">
        <v>265</v>
      </c>
      <c r="D313" s="58"/>
      <c r="E313" s="51"/>
      <c r="F313" s="95"/>
      <c r="G313" s="53" t="s">
        <v>212</v>
      </c>
      <c r="H313" s="77"/>
      <c r="I313" s="52" t="s">
        <v>206</v>
      </c>
      <c r="J313" s="58">
        <f t="shared" si="39"/>
        <v>0</v>
      </c>
      <c r="K313" s="51" t="s">
        <v>57</v>
      </c>
      <c r="L313" s="58"/>
      <c r="M313" s="58"/>
    </row>
    <row r="314" spans="1:57" ht="13.8" thickBot="1" x14ac:dyDescent="0.3">
      <c r="B314" s="51"/>
      <c r="C314" s="51" t="s">
        <v>265</v>
      </c>
      <c r="D314" s="58"/>
      <c r="E314" s="51"/>
      <c r="F314" s="95"/>
      <c r="G314" s="53" t="s">
        <v>212</v>
      </c>
      <c r="H314" s="77"/>
      <c r="I314" s="52" t="s">
        <v>206</v>
      </c>
      <c r="J314" s="58">
        <f t="shared" si="39"/>
        <v>0</v>
      </c>
      <c r="K314" s="51" t="s">
        <v>57</v>
      </c>
      <c r="L314" s="58"/>
      <c r="M314" s="58"/>
    </row>
    <row r="315" spans="1:57" ht="13.8" thickBot="1" x14ac:dyDescent="0.3">
      <c r="B315" s="51"/>
      <c r="C315" s="51" t="s">
        <v>265</v>
      </c>
      <c r="D315" s="58"/>
      <c r="E315" s="51"/>
      <c r="F315" s="95"/>
      <c r="G315" s="53" t="s">
        <v>256</v>
      </c>
      <c r="H315" s="77"/>
      <c r="I315" s="52" t="s">
        <v>257</v>
      </c>
      <c r="J315" s="58"/>
      <c r="K315" s="51"/>
      <c r="L315" s="58"/>
      <c r="M315" s="58"/>
    </row>
    <row r="316" spans="1:57" ht="13.8" thickBot="1" x14ac:dyDescent="0.3">
      <c r="B316" s="51"/>
      <c r="C316" s="51" t="s">
        <v>265</v>
      </c>
      <c r="D316" s="51"/>
      <c r="E316" s="51"/>
      <c r="F316" s="95"/>
      <c r="G316" s="53" t="s">
        <v>256</v>
      </c>
      <c r="H316" s="77"/>
      <c r="I316" s="52" t="s">
        <v>257</v>
      </c>
      <c r="J316" s="58">
        <f t="shared" ref="J316:J317" si="40">F316*H316</f>
        <v>0</v>
      </c>
      <c r="K316" s="51" t="s">
        <v>57</v>
      </c>
      <c r="L316" s="58"/>
      <c r="M316" s="58"/>
    </row>
    <row r="317" spans="1:57" ht="13.8" thickBot="1" x14ac:dyDescent="0.3">
      <c r="B317" s="51"/>
      <c r="C317" s="51" t="s">
        <v>265</v>
      </c>
      <c r="D317" s="51"/>
      <c r="E317" s="51"/>
      <c r="F317" s="95"/>
      <c r="G317" s="53" t="s">
        <v>256</v>
      </c>
      <c r="H317" s="77"/>
      <c r="I317" s="52" t="s">
        <v>257</v>
      </c>
      <c r="J317" s="58">
        <f t="shared" si="40"/>
        <v>0</v>
      </c>
      <c r="K317" s="51" t="s">
        <v>57</v>
      </c>
      <c r="L317" s="58"/>
      <c r="M317" s="58"/>
    </row>
    <row r="318" spans="1:57" x14ac:dyDescent="0.25">
      <c r="B318" s="51"/>
      <c r="C318" s="51"/>
      <c r="D318" s="51"/>
      <c r="E318" s="51"/>
      <c r="F318" s="53"/>
      <c r="G318" s="53"/>
      <c r="H318" s="52"/>
      <c r="I318" s="52"/>
      <c r="J318" s="58"/>
      <c r="K318" s="51"/>
      <c r="L318" s="58"/>
      <c r="M318" s="58"/>
    </row>
    <row r="319" spans="1:57" ht="13.8" thickBot="1" x14ac:dyDescent="0.3">
      <c r="B319" s="171" t="s">
        <v>266</v>
      </c>
      <c r="C319" s="51"/>
      <c r="D319" s="51"/>
      <c r="E319" s="51"/>
      <c r="F319" s="53"/>
      <c r="G319" s="53"/>
      <c r="H319" s="52"/>
      <c r="I319" s="52"/>
      <c r="J319" s="58"/>
      <c r="K319" s="51"/>
      <c r="L319" s="58"/>
      <c r="M319" s="58"/>
    </row>
    <row r="320" spans="1:57" ht="13.8" thickBot="1" x14ac:dyDescent="0.3">
      <c r="A320" s="882"/>
      <c r="B320" s="51"/>
      <c r="C320" s="51" t="s">
        <v>617</v>
      </c>
      <c r="D320" s="51"/>
      <c r="E320" s="51"/>
      <c r="F320" s="76"/>
      <c r="G320" s="53" t="s">
        <v>618</v>
      </c>
      <c r="H320" s="485"/>
      <c r="I320" s="52" t="s">
        <v>246</v>
      </c>
      <c r="J320" s="58">
        <f t="shared" ref="J320:J321" si="41">F320*H320</f>
        <v>0</v>
      </c>
      <c r="K320" s="51" t="s">
        <v>57</v>
      </c>
      <c r="L320" s="58"/>
      <c r="M320" s="58"/>
    </row>
    <row r="321" spans="1:57" ht="13.8" thickBot="1" x14ac:dyDescent="0.3">
      <c r="A321" s="882"/>
      <c r="B321" s="51"/>
      <c r="C321" s="51" t="s">
        <v>619</v>
      </c>
      <c r="D321" s="51"/>
      <c r="E321" s="51"/>
      <c r="F321" s="95"/>
      <c r="G321" s="53" t="s">
        <v>212</v>
      </c>
      <c r="H321" s="95"/>
      <c r="I321" s="51" t="s">
        <v>206</v>
      </c>
      <c r="J321" s="58">
        <f t="shared" si="41"/>
        <v>0</v>
      </c>
      <c r="K321" s="51" t="s">
        <v>57</v>
      </c>
      <c r="L321" s="58"/>
      <c r="M321" s="58"/>
    </row>
    <row r="322" spans="1:57" ht="13.8" thickBot="1" x14ac:dyDescent="0.3">
      <c r="A322" s="882"/>
      <c r="B322" s="51"/>
      <c r="C322" s="51" t="s">
        <v>267</v>
      </c>
      <c r="D322" s="51"/>
      <c r="E322" s="51"/>
      <c r="F322" s="95"/>
      <c r="G322" s="53"/>
      <c r="H322" s="95"/>
      <c r="I322" s="195"/>
      <c r="J322" s="58"/>
      <c r="K322" s="51"/>
      <c r="L322" s="58"/>
      <c r="M322" s="58"/>
    </row>
    <row r="323" spans="1:57" ht="13.8" thickBot="1" x14ac:dyDescent="0.3">
      <c r="A323" s="882"/>
      <c r="B323" s="51"/>
      <c r="C323" s="51" t="s">
        <v>267</v>
      </c>
      <c r="D323" s="51"/>
      <c r="E323" s="51"/>
      <c r="F323" s="95"/>
      <c r="G323" s="53"/>
      <c r="H323" s="95"/>
      <c r="I323" s="195"/>
      <c r="J323" s="58">
        <f t="shared" ref="J323:J324" si="42">F323*H323</f>
        <v>0</v>
      </c>
      <c r="K323" s="51" t="s">
        <v>57</v>
      </c>
      <c r="L323" s="58"/>
      <c r="M323" s="58"/>
    </row>
    <row r="324" spans="1:57" ht="13.8" thickBot="1" x14ac:dyDescent="0.3">
      <c r="A324" s="882"/>
      <c r="B324" s="51"/>
      <c r="C324" s="51" t="s">
        <v>267</v>
      </c>
      <c r="D324" s="51"/>
      <c r="E324" s="51"/>
      <c r="F324" s="95"/>
      <c r="G324" s="53"/>
      <c r="H324" s="95"/>
      <c r="I324" s="52"/>
      <c r="J324" s="58">
        <f t="shared" si="42"/>
        <v>0</v>
      </c>
      <c r="K324" s="51" t="s">
        <v>57</v>
      </c>
      <c r="L324" s="58"/>
      <c r="M324" s="58"/>
    </row>
    <row r="325" spans="1:57" x14ac:dyDescent="0.25">
      <c r="A325" s="882"/>
      <c r="B325" s="195"/>
      <c r="C325" s="195" t="s">
        <v>54</v>
      </c>
      <c r="D325" s="195"/>
      <c r="E325" s="195"/>
      <c r="F325" s="196"/>
      <c r="G325" s="196"/>
      <c r="H325" s="196"/>
      <c r="I325" s="52"/>
      <c r="J325" s="195">
        <f>SUM(J312:J324)</f>
        <v>31.5</v>
      </c>
      <c r="K325" s="195" t="s">
        <v>57</v>
      </c>
      <c r="L325" s="195"/>
      <c r="M325" s="195"/>
    </row>
    <row r="326" spans="1:57" x14ac:dyDescent="0.25">
      <c r="A326" s="882"/>
      <c r="B326" s="195"/>
      <c r="C326" s="195"/>
      <c r="D326" s="195"/>
      <c r="E326" s="195"/>
      <c r="F326" s="196"/>
      <c r="G326" s="196"/>
      <c r="H326" s="196"/>
      <c r="I326" s="52"/>
      <c r="J326" s="195"/>
      <c r="K326" s="195"/>
      <c r="L326" s="195"/>
      <c r="M326" s="195"/>
    </row>
    <row r="327" spans="1:57" ht="28.2" customHeight="1" x14ac:dyDescent="0.25">
      <c r="A327" s="882"/>
      <c r="B327" s="13"/>
      <c r="C327" s="13"/>
      <c r="D327" s="30"/>
      <c r="E327" s="13"/>
      <c r="F327" s="13"/>
      <c r="G327" s="42"/>
      <c r="H327" s="12"/>
      <c r="I327" s="12"/>
      <c r="J327" s="12"/>
    </row>
    <row r="328" spans="1:57" ht="15.6" x14ac:dyDescent="0.3">
      <c r="B328" s="176" t="s">
        <v>638</v>
      </c>
      <c r="C328" s="177"/>
      <c r="D328" s="177"/>
      <c r="E328" s="177"/>
      <c r="F328" s="1067" t="s">
        <v>114</v>
      </c>
      <c r="G328" s="1067"/>
      <c r="H328" s="1067" t="s">
        <v>113</v>
      </c>
      <c r="I328" s="1067"/>
      <c r="J328" s="1067" t="s">
        <v>243</v>
      </c>
      <c r="K328" s="1067"/>
      <c r="L328" s="179"/>
      <c r="M328" s="179"/>
    </row>
    <row r="329" spans="1:57" ht="13.8" thickBot="1" x14ac:dyDescent="0.3">
      <c r="B329" s="177"/>
      <c r="C329" s="177"/>
      <c r="D329" s="177"/>
      <c r="E329" s="177"/>
      <c r="F329" s="177"/>
      <c r="G329" s="177"/>
      <c r="H329" s="178"/>
      <c r="I329" s="178"/>
      <c r="J329" s="179"/>
      <c r="K329" s="179"/>
      <c r="L329" s="179"/>
      <c r="M329" s="179"/>
    </row>
    <row r="330" spans="1:57" ht="13.8" thickBot="1" x14ac:dyDescent="0.3">
      <c r="B330" s="177"/>
      <c r="C330" s="177" t="s">
        <v>292</v>
      </c>
      <c r="D330" s="179"/>
      <c r="E330" s="177"/>
      <c r="F330" s="74">
        <v>1</v>
      </c>
      <c r="G330" s="177" t="s">
        <v>7</v>
      </c>
      <c r="H330" s="77">
        <v>73</v>
      </c>
      <c r="I330" s="178" t="s">
        <v>57</v>
      </c>
      <c r="J330" s="180">
        <f t="shared" ref="J330:J332" si="43">F330*H330</f>
        <v>73</v>
      </c>
      <c r="K330" s="177" t="s">
        <v>57</v>
      </c>
      <c r="L330" s="179"/>
      <c r="M330" s="179"/>
    </row>
    <row r="331" spans="1:57" ht="13.8" thickBot="1" x14ac:dyDescent="0.3">
      <c r="B331" s="177"/>
      <c r="C331" s="177" t="s">
        <v>372</v>
      </c>
      <c r="D331" s="177"/>
      <c r="E331" s="177"/>
      <c r="F331" s="74"/>
      <c r="G331" s="177" t="s">
        <v>7</v>
      </c>
      <c r="H331" s="77"/>
      <c r="I331" s="178" t="s">
        <v>57</v>
      </c>
      <c r="J331" s="180">
        <f t="shared" si="43"/>
        <v>0</v>
      </c>
      <c r="K331" s="177" t="s">
        <v>57</v>
      </c>
      <c r="L331" s="179"/>
      <c r="M331" s="179"/>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row>
    <row r="332" spans="1:57" ht="13.8" thickBot="1" x14ac:dyDescent="0.3">
      <c r="B332" s="177"/>
      <c r="C332" s="177" t="s">
        <v>372</v>
      </c>
      <c r="D332" s="177"/>
      <c r="E332" s="177"/>
      <c r="F332" s="74"/>
      <c r="G332" s="177" t="s">
        <v>7</v>
      </c>
      <c r="H332" s="77"/>
      <c r="I332" s="178" t="s">
        <v>57</v>
      </c>
      <c r="J332" s="180">
        <f t="shared" si="43"/>
        <v>0</v>
      </c>
      <c r="K332" s="177" t="s">
        <v>57</v>
      </c>
      <c r="L332" s="179"/>
      <c r="M332" s="179"/>
    </row>
    <row r="333" spans="1:57" s="5" customFormat="1" x14ac:dyDescent="0.25">
      <c r="A333" s="879"/>
      <c r="B333" s="204"/>
      <c r="C333" s="204" t="s">
        <v>54</v>
      </c>
      <c r="D333" s="204"/>
      <c r="E333" s="204"/>
      <c r="F333" s="204"/>
      <c r="G333" s="204"/>
      <c r="H333" s="205"/>
      <c r="I333" s="205"/>
      <c r="J333" s="206">
        <f>SUM(J330:J332)</f>
        <v>73</v>
      </c>
      <c r="K333" s="204" t="s">
        <v>57</v>
      </c>
      <c r="L333" s="204"/>
      <c r="M333" s="204"/>
      <c r="N333"/>
      <c r="O333"/>
      <c r="P333"/>
      <c r="Q333"/>
      <c r="R333"/>
      <c r="S333"/>
      <c r="T333"/>
      <c r="U333"/>
      <c r="AE333"/>
      <c r="AF333"/>
      <c r="AG333"/>
      <c r="AH333"/>
      <c r="AI333"/>
      <c r="AJ333"/>
      <c r="AK333"/>
      <c r="AL333"/>
      <c r="AM333"/>
      <c r="AN333"/>
      <c r="AO333"/>
      <c r="AP333"/>
      <c r="AQ333"/>
      <c r="AR333"/>
      <c r="AS333"/>
      <c r="AT333"/>
      <c r="AU333"/>
      <c r="AV333"/>
      <c r="AW333"/>
      <c r="AX333"/>
      <c r="AY333"/>
      <c r="AZ333"/>
      <c r="BA333"/>
      <c r="BB333"/>
      <c r="BC333"/>
      <c r="BD333"/>
      <c r="BE333"/>
    </row>
    <row r="334" spans="1:57" x14ac:dyDescent="0.25">
      <c r="B334" s="177"/>
      <c r="C334" s="177"/>
      <c r="D334" s="177"/>
      <c r="E334" s="177"/>
      <c r="F334" s="177"/>
      <c r="G334" s="177"/>
      <c r="H334" s="178"/>
      <c r="I334" s="178"/>
      <c r="J334" s="180"/>
      <c r="K334" s="177"/>
      <c r="L334" s="179"/>
      <c r="M334" s="179"/>
    </row>
    <row r="335" spans="1:57" ht="33" customHeight="1" x14ac:dyDescent="0.25">
      <c r="AE335" s="69"/>
      <c r="AF335" s="69"/>
      <c r="AG335" s="69"/>
      <c r="AH335" s="69"/>
      <c r="AI335" s="69"/>
      <c r="AJ335" s="69"/>
      <c r="AK335" s="69"/>
      <c r="AL335" s="69"/>
      <c r="AM335" s="69"/>
      <c r="AN335" s="69"/>
      <c r="AO335" s="69"/>
      <c r="AP335" s="69"/>
      <c r="AQ335" s="69"/>
      <c r="AR335" s="69"/>
      <c r="AS335" s="69"/>
      <c r="AT335" s="69"/>
      <c r="AU335" s="69"/>
      <c r="AV335" s="69"/>
      <c r="AW335" s="69"/>
      <c r="AX335" s="69"/>
      <c r="AY335" s="69"/>
      <c r="AZ335" s="69"/>
      <c r="BA335" s="69"/>
      <c r="BB335" s="69"/>
      <c r="BC335" s="69"/>
      <c r="BD335" s="69"/>
      <c r="BE335" s="69"/>
    </row>
    <row r="336" spans="1:57" ht="16.2" thickBot="1" x14ac:dyDescent="0.35">
      <c r="B336" s="181" t="s">
        <v>639</v>
      </c>
      <c r="C336" s="182"/>
      <c r="D336" s="182"/>
      <c r="E336" s="183"/>
      <c r="F336" s="182"/>
      <c r="G336" s="184"/>
      <c r="H336" s="184"/>
      <c r="I336" s="182"/>
      <c r="J336" s="182"/>
      <c r="K336" s="185"/>
      <c r="L336" s="185"/>
      <c r="M336" s="185"/>
      <c r="N336" s="5"/>
      <c r="O336" s="5"/>
      <c r="P336" s="5"/>
      <c r="Q336" s="5"/>
      <c r="R336" s="5"/>
      <c r="S336" s="5"/>
      <c r="T336" s="5"/>
      <c r="U336" s="5"/>
    </row>
    <row r="337" spans="1:57" ht="13.8" thickBot="1" x14ac:dyDescent="0.3">
      <c r="B337" s="182"/>
      <c r="C337" s="182" t="s">
        <v>278</v>
      </c>
      <c r="D337" s="185"/>
      <c r="E337" s="186"/>
      <c r="F337" s="74">
        <v>0.15</v>
      </c>
      <c r="G337" s="187" t="s">
        <v>280</v>
      </c>
      <c r="H337" s="74">
        <v>1000</v>
      </c>
      <c r="I337" s="188" t="s">
        <v>279</v>
      </c>
      <c r="J337" s="185">
        <f>F337*H337</f>
        <v>150</v>
      </c>
      <c r="K337" s="188" t="s">
        <v>57</v>
      </c>
      <c r="L337" s="185"/>
      <c r="M337" s="185"/>
    </row>
    <row r="338" spans="1:57" ht="13.8" thickBot="1" x14ac:dyDescent="0.3">
      <c r="B338" s="182"/>
      <c r="C338" s="182" t="s">
        <v>281</v>
      </c>
      <c r="D338" s="188">
        <f>F360/2</f>
        <v>7</v>
      </c>
      <c r="E338" s="182" t="s">
        <v>282</v>
      </c>
      <c r="F338" s="74">
        <v>0.83</v>
      </c>
      <c r="G338" s="184" t="s">
        <v>257</v>
      </c>
      <c r="H338" s="74">
        <v>20</v>
      </c>
      <c r="I338" s="188" t="s">
        <v>256</v>
      </c>
      <c r="J338" s="185">
        <f t="shared" ref="J338:J342" si="44">F338*H338</f>
        <v>16.599999999999998</v>
      </c>
      <c r="K338" s="188" t="s">
        <v>57</v>
      </c>
      <c r="L338" s="185"/>
      <c r="M338" s="185"/>
    </row>
    <row r="339" spans="1:57" ht="13.8" thickBot="1" x14ac:dyDescent="0.3">
      <c r="B339" s="182"/>
      <c r="C339" s="182" t="s">
        <v>283</v>
      </c>
      <c r="D339" s="188">
        <f>D338</f>
        <v>7</v>
      </c>
      <c r="E339" s="182" t="s">
        <v>282</v>
      </c>
      <c r="F339" s="74">
        <v>4</v>
      </c>
      <c r="G339" s="184" t="s">
        <v>206</v>
      </c>
      <c r="H339" s="74">
        <v>0.32</v>
      </c>
      <c r="I339" s="188" t="s">
        <v>212</v>
      </c>
      <c r="J339" s="185">
        <f t="shared" si="44"/>
        <v>1.28</v>
      </c>
      <c r="K339" s="188" t="s">
        <v>57</v>
      </c>
      <c r="L339" s="185"/>
      <c r="M339" s="185"/>
    </row>
    <row r="340" spans="1:57" ht="13.8" thickBot="1" x14ac:dyDescent="0.3">
      <c r="B340" s="182"/>
      <c r="C340" s="182" t="s">
        <v>284</v>
      </c>
      <c r="D340" s="185"/>
      <c r="E340" s="188"/>
      <c r="F340" s="74">
        <v>1.25</v>
      </c>
      <c r="G340" s="184" t="s">
        <v>257</v>
      </c>
      <c r="H340" s="74">
        <v>200</v>
      </c>
      <c r="I340" s="188" t="s">
        <v>256</v>
      </c>
      <c r="J340" s="185">
        <f t="shared" si="44"/>
        <v>250</v>
      </c>
      <c r="K340" s="188" t="s">
        <v>57</v>
      </c>
      <c r="L340" s="185"/>
      <c r="M340" s="185"/>
    </row>
    <row r="341" spans="1:57" ht="13.8" thickBot="1" x14ac:dyDescent="0.3">
      <c r="B341" s="182"/>
      <c r="C341" s="182" t="s">
        <v>285</v>
      </c>
      <c r="D341" s="185"/>
      <c r="E341" s="188"/>
      <c r="F341" s="74">
        <v>1.48</v>
      </c>
      <c r="G341" s="184" t="s">
        <v>257</v>
      </c>
      <c r="H341" s="74">
        <v>80</v>
      </c>
      <c r="I341" s="188" t="s">
        <v>256</v>
      </c>
      <c r="J341" s="185">
        <f t="shared" si="44"/>
        <v>118.4</v>
      </c>
      <c r="K341" s="188" t="s">
        <v>57</v>
      </c>
      <c r="L341" s="185"/>
      <c r="M341" s="185"/>
    </row>
    <row r="342" spans="1:57" ht="13.8" thickBot="1" x14ac:dyDescent="0.3">
      <c r="B342" s="185"/>
      <c r="C342" s="182" t="s">
        <v>286</v>
      </c>
      <c r="D342" s="185"/>
      <c r="E342" s="185"/>
      <c r="F342" s="74"/>
      <c r="G342" s="185"/>
      <c r="H342" s="74"/>
      <c r="I342" s="185"/>
      <c r="J342" s="185">
        <f t="shared" si="44"/>
        <v>0</v>
      </c>
      <c r="K342" s="188" t="s">
        <v>57</v>
      </c>
      <c r="L342" s="185"/>
      <c r="M342" s="185"/>
    </row>
    <row r="343" spans="1:57" s="5" customFormat="1" x14ac:dyDescent="0.25">
      <c r="A343" s="879"/>
      <c r="B343" s="207"/>
      <c r="C343" s="207" t="s">
        <v>54</v>
      </c>
      <c r="D343" s="207"/>
      <c r="E343" s="207"/>
      <c r="F343" s="207"/>
      <c r="G343" s="207"/>
      <c r="H343" s="207"/>
      <c r="I343" s="207"/>
      <c r="J343" s="207">
        <f>SUM(J337:J342)</f>
        <v>536.28</v>
      </c>
      <c r="K343" s="208" t="s">
        <v>57</v>
      </c>
      <c r="L343" s="207"/>
      <c r="M343" s="207"/>
      <c r="N343"/>
      <c r="O343"/>
      <c r="P343"/>
      <c r="Q343" s="13"/>
      <c r="R343"/>
      <c r="S343"/>
      <c r="T343"/>
      <c r="U343"/>
      <c r="AE343"/>
      <c r="AF343"/>
      <c r="AG343"/>
      <c r="AH343"/>
      <c r="AI343"/>
      <c r="AJ343"/>
      <c r="AK343"/>
      <c r="AL343"/>
      <c r="AM343"/>
      <c r="AN343"/>
      <c r="AO343"/>
      <c r="AP343"/>
      <c r="AQ343"/>
      <c r="AR343"/>
      <c r="AS343"/>
      <c r="AT343"/>
      <c r="AU343"/>
      <c r="AV343"/>
      <c r="AW343"/>
      <c r="AX343"/>
      <c r="AY343"/>
      <c r="AZ343"/>
      <c r="BA343"/>
      <c r="BB343"/>
      <c r="BC343"/>
      <c r="BD343"/>
      <c r="BE343"/>
    </row>
    <row r="344" spans="1:57" x14ac:dyDescent="0.25">
      <c r="B344" s="185"/>
      <c r="C344" s="185"/>
      <c r="D344" s="185"/>
      <c r="E344" s="185"/>
      <c r="F344" s="185"/>
      <c r="G344" s="185"/>
      <c r="H344" s="185"/>
      <c r="I344" s="185"/>
      <c r="J344" s="185"/>
      <c r="K344" s="185"/>
      <c r="L344" s="185"/>
      <c r="M344" s="185"/>
      <c r="Q344" s="5"/>
    </row>
    <row r="345" spans="1:57" ht="40.200000000000003" customHeight="1" x14ac:dyDescent="0.25"/>
    <row r="346" spans="1:57" ht="15.6" x14ac:dyDescent="0.3">
      <c r="B346" s="88" t="s">
        <v>640</v>
      </c>
      <c r="C346" s="79"/>
      <c r="D346" s="79"/>
      <c r="E346" s="79"/>
      <c r="F346" s="79"/>
      <c r="G346" s="79"/>
      <c r="H346" s="79"/>
      <c r="I346" s="79"/>
      <c r="J346" s="79"/>
      <c r="K346" s="79"/>
      <c r="L346" s="79"/>
      <c r="M346" s="79"/>
      <c r="N346" s="5"/>
      <c r="O346" s="5"/>
      <c r="P346" s="5"/>
      <c r="Q346" s="5"/>
      <c r="R346" s="5"/>
      <c r="S346" s="5"/>
      <c r="T346" s="5"/>
      <c r="U346" s="5"/>
    </row>
    <row r="347" spans="1:57" ht="15.6" x14ac:dyDescent="0.3">
      <c r="B347" s="88"/>
      <c r="C347" s="79"/>
      <c r="D347" s="79"/>
      <c r="E347" s="79"/>
      <c r="F347" s="79"/>
      <c r="G347" s="79"/>
      <c r="H347" s="79"/>
      <c r="I347" s="79"/>
      <c r="J347" s="79"/>
      <c r="K347" s="79"/>
      <c r="L347" s="79"/>
      <c r="M347" s="79"/>
    </row>
    <row r="348" spans="1:57" ht="103.2" customHeight="1" x14ac:dyDescent="0.25">
      <c r="B348" s="1096" t="s">
        <v>607</v>
      </c>
      <c r="C348" s="1096"/>
      <c r="D348" s="1096"/>
      <c r="E348" s="1096"/>
      <c r="F348" s="1096"/>
      <c r="G348" s="1096"/>
      <c r="H348" s="1096"/>
      <c r="I348" s="1096"/>
      <c r="J348" s="1096"/>
      <c r="K348" s="1096"/>
      <c r="L348" s="1096"/>
      <c r="M348" s="1096"/>
    </row>
    <row r="349" spans="1:57" ht="37.950000000000003" customHeight="1" x14ac:dyDescent="0.25">
      <c r="B349" s="1121" t="s">
        <v>374</v>
      </c>
      <c r="C349" s="1122"/>
      <c r="D349" s="1122"/>
      <c r="E349" s="1123"/>
      <c r="F349" s="1006"/>
      <c r="G349" s="83"/>
      <c r="H349" s="84"/>
      <c r="I349" s="84"/>
      <c r="J349" s="83"/>
      <c r="K349" s="83"/>
      <c r="L349" s="84"/>
      <c r="M349" s="84"/>
    </row>
    <row r="350" spans="1:57" ht="15.6" x14ac:dyDescent="0.3">
      <c r="B350" s="88"/>
      <c r="C350" s="79"/>
      <c r="D350" s="79"/>
      <c r="E350" s="83"/>
      <c r="F350" s="83"/>
      <c r="G350" s="83"/>
      <c r="H350" s="84"/>
      <c r="I350" s="84"/>
      <c r="J350" s="83"/>
      <c r="K350" s="83"/>
      <c r="L350" s="84"/>
      <c r="M350" s="84"/>
    </row>
    <row r="351" spans="1:57" ht="15.6" x14ac:dyDescent="0.3">
      <c r="B351" s="88"/>
      <c r="C351" s="79"/>
      <c r="D351" s="79"/>
      <c r="E351" s="1069" t="s">
        <v>290</v>
      </c>
      <c r="F351" s="1069"/>
      <c r="G351" s="1069"/>
      <c r="H351" s="1070" t="s">
        <v>113</v>
      </c>
      <c r="I351" s="1070"/>
      <c r="J351" s="1069" t="s">
        <v>291</v>
      </c>
      <c r="K351" s="1069"/>
      <c r="L351" s="1070" t="s">
        <v>113</v>
      </c>
      <c r="M351" s="1070"/>
    </row>
    <row r="352" spans="1:57" ht="15.6" thickBot="1" x14ac:dyDescent="0.3">
      <c r="B352" s="78"/>
      <c r="C352" s="79"/>
      <c r="D352" s="79"/>
      <c r="E352" s="79"/>
      <c r="F352" s="79"/>
      <c r="G352" s="79"/>
      <c r="H352" s="79"/>
      <c r="I352" s="79"/>
      <c r="J352" s="79"/>
      <c r="K352" s="79"/>
      <c r="L352" s="79"/>
      <c r="M352" s="79"/>
    </row>
    <row r="353" spans="1:57" ht="13.8" thickBot="1" x14ac:dyDescent="0.3">
      <c r="B353" s="79"/>
      <c r="C353" s="80" t="str">
        <f>AE59</f>
        <v>Demontering av bevattningsutrustning</v>
      </c>
      <c r="D353" s="79"/>
      <c r="E353" s="79"/>
      <c r="F353" s="824">
        <f>BD59</f>
        <v>10</v>
      </c>
      <c r="G353" s="82" t="s">
        <v>293</v>
      </c>
      <c r="H353" s="93">
        <v>14.5</v>
      </c>
      <c r="I353" s="82" t="s">
        <v>294</v>
      </c>
      <c r="J353" s="79"/>
      <c r="K353" s="82" t="s">
        <v>293</v>
      </c>
      <c r="L353" s="93">
        <v>14.5</v>
      </c>
      <c r="M353" s="82" t="s">
        <v>294</v>
      </c>
    </row>
    <row r="354" spans="1:57" x14ac:dyDescent="0.25">
      <c r="B354" s="79"/>
      <c r="C354" s="80" t="str">
        <f>AE60</f>
        <v>Borttagning av plast</v>
      </c>
      <c r="D354" s="79"/>
      <c r="E354" s="79"/>
      <c r="F354" s="824"/>
      <c r="G354" s="82" t="s">
        <v>293</v>
      </c>
      <c r="H354" s="90">
        <f>$H$353</f>
        <v>14.5</v>
      </c>
      <c r="I354" s="82" t="s">
        <v>294</v>
      </c>
      <c r="J354" s="824">
        <f>BD60</f>
        <v>30</v>
      </c>
      <c r="K354" s="82" t="s">
        <v>293</v>
      </c>
      <c r="L354" s="90">
        <f>$L$353</f>
        <v>14.5</v>
      </c>
      <c r="M354" s="82" t="s">
        <v>294</v>
      </c>
    </row>
    <row r="355" spans="1:57" x14ac:dyDescent="0.25">
      <c r="B355" s="79"/>
      <c r="C355" s="80" t="str">
        <f t="shared" ref="C355:C359" si="45">AE61</f>
        <v>Växtskydd</v>
      </c>
      <c r="D355" s="79"/>
      <c r="E355" s="79"/>
      <c r="F355" s="824">
        <f t="shared" ref="F355:F359" si="46">BD61</f>
        <v>2</v>
      </c>
      <c r="G355" s="82" t="s">
        <v>293</v>
      </c>
      <c r="H355" s="90">
        <f t="shared" ref="H355:H359" si="47">$H$353</f>
        <v>14.5</v>
      </c>
      <c r="I355" s="82" t="s">
        <v>294</v>
      </c>
      <c r="J355" s="79"/>
      <c r="K355" s="82" t="s">
        <v>293</v>
      </c>
      <c r="L355" s="90">
        <f t="shared" ref="L355:L359" si="48">$L$353</f>
        <v>14.5</v>
      </c>
      <c r="M355" s="82" t="s">
        <v>294</v>
      </c>
    </row>
    <row r="356" spans="1:57" x14ac:dyDescent="0.25">
      <c r="B356" s="79"/>
      <c r="C356" s="80" t="s">
        <v>292</v>
      </c>
      <c r="D356" s="79"/>
      <c r="E356" s="79"/>
      <c r="F356" s="824">
        <f t="shared" si="46"/>
        <v>2</v>
      </c>
      <c r="G356" s="82" t="s">
        <v>293</v>
      </c>
      <c r="H356" s="90">
        <f t="shared" si="47"/>
        <v>14.5</v>
      </c>
      <c r="I356" s="82" t="s">
        <v>294</v>
      </c>
      <c r="J356" s="79"/>
      <c r="K356" s="82" t="s">
        <v>293</v>
      </c>
      <c r="L356" s="90">
        <f t="shared" si="48"/>
        <v>14.5</v>
      </c>
      <c r="M356" s="82" t="s">
        <v>294</v>
      </c>
    </row>
    <row r="357" spans="1:57" x14ac:dyDescent="0.25">
      <c r="B357" s="79"/>
      <c r="C357" s="80" t="str">
        <f t="shared" si="45"/>
        <v>Arbetsmoment X</v>
      </c>
      <c r="D357" s="79"/>
      <c r="E357" s="79"/>
      <c r="F357" s="824">
        <f t="shared" si="46"/>
        <v>0</v>
      </c>
      <c r="G357" s="82" t="s">
        <v>293</v>
      </c>
      <c r="H357" s="90">
        <f t="shared" si="47"/>
        <v>14.5</v>
      </c>
      <c r="I357" s="82" t="s">
        <v>294</v>
      </c>
      <c r="J357" s="79"/>
      <c r="K357" s="82" t="s">
        <v>293</v>
      </c>
      <c r="L357" s="90">
        <f t="shared" si="48"/>
        <v>14.5</v>
      </c>
      <c r="M357" s="82" t="s">
        <v>294</v>
      </c>
    </row>
    <row r="358" spans="1:57" x14ac:dyDescent="0.25">
      <c r="B358" s="79"/>
      <c r="C358" s="80" t="str">
        <f t="shared" si="45"/>
        <v>Arbetsmoment X</v>
      </c>
      <c r="D358" s="79"/>
      <c r="E358" s="79"/>
      <c r="F358" s="824">
        <f t="shared" si="46"/>
        <v>0</v>
      </c>
      <c r="G358" s="82" t="s">
        <v>293</v>
      </c>
      <c r="H358" s="90">
        <f t="shared" si="47"/>
        <v>14.5</v>
      </c>
      <c r="I358" s="82" t="s">
        <v>294</v>
      </c>
      <c r="J358" s="79"/>
      <c r="K358" s="82" t="s">
        <v>293</v>
      </c>
      <c r="L358" s="90">
        <f t="shared" si="48"/>
        <v>14.5</v>
      </c>
      <c r="M358" s="82" t="s">
        <v>294</v>
      </c>
    </row>
    <row r="359" spans="1:57" x14ac:dyDescent="0.25">
      <c r="B359" s="79"/>
      <c r="C359" s="80" t="str">
        <f t="shared" si="45"/>
        <v>Arbetsmoment X</v>
      </c>
      <c r="D359" s="81"/>
      <c r="E359" s="79"/>
      <c r="F359" s="824">
        <f t="shared" si="46"/>
        <v>0</v>
      </c>
      <c r="G359" s="82" t="s">
        <v>293</v>
      </c>
      <c r="H359" s="90">
        <f t="shared" si="47"/>
        <v>14.5</v>
      </c>
      <c r="I359" s="82" t="s">
        <v>294</v>
      </c>
      <c r="J359" s="79"/>
      <c r="K359" s="82" t="s">
        <v>293</v>
      </c>
      <c r="L359" s="90">
        <f t="shared" si="48"/>
        <v>14.5</v>
      </c>
      <c r="M359" s="82" t="s">
        <v>294</v>
      </c>
    </row>
    <row r="360" spans="1:57" s="5" customFormat="1" x14ac:dyDescent="0.25">
      <c r="A360" s="879"/>
      <c r="B360" s="209"/>
      <c r="C360" s="210" t="s">
        <v>54</v>
      </c>
      <c r="D360" s="211"/>
      <c r="E360" s="211"/>
      <c r="F360" s="212">
        <f>SUM(F353:F359)</f>
        <v>14</v>
      </c>
      <c r="G360" s="209" t="s">
        <v>293</v>
      </c>
      <c r="H360" s="213">
        <f>F360*H353</f>
        <v>203</v>
      </c>
      <c r="I360" s="209" t="s">
        <v>57</v>
      </c>
      <c r="J360" s="212">
        <f>SUM(J353:J359)</f>
        <v>30</v>
      </c>
      <c r="K360" s="209" t="s">
        <v>293</v>
      </c>
      <c r="L360" s="213">
        <f>J360*L353</f>
        <v>435</v>
      </c>
      <c r="M360" s="209" t="s">
        <v>57</v>
      </c>
      <c r="N360"/>
      <c r="O360"/>
      <c r="P360"/>
      <c r="Q360"/>
      <c r="R360"/>
      <c r="S360"/>
      <c r="T360"/>
      <c r="U360"/>
      <c r="AE360"/>
      <c r="AF360"/>
      <c r="AG360"/>
      <c r="AH360"/>
      <c r="AI360"/>
      <c r="AJ360"/>
      <c r="AK360"/>
      <c r="AL360"/>
      <c r="AM360"/>
      <c r="AN360"/>
      <c r="AO360"/>
      <c r="AP360"/>
      <c r="AQ360"/>
      <c r="AR360"/>
      <c r="AS360"/>
      <c r="AT360"/>
      <c r="AU360"/>
      <c r="AV360"/>
      <c r="AW360"/>
      <c r="AX360"/>
      <c r="AY360"/>
      <c r="AZ360"/>
      <c r="BA360"/>
      <c r="BB360"/>
      <c r="BC360"/>
      <c r="BD360"/>
      <c r="BE360"/>
    </row>
    <row r="361" spans="1:57" s="5" customFormat="1" x14ac:dyDescent="0.25">
      <c r="A361" s="879"/>
      <c r="B361" s="209"/>
      <c r="C361" s="210"/>
      <c r="D361" s="211"/>
      <c r="E361" s="211"/>
      <c r="F361" s="212"/>
      <c r="G361" s="209"/>
      <c r="H361" s="213"/>
      <c r="I361" s="209"/>
      <c r="J361" s="212"/>
      <c r="K361" s="209"/>
      <c r="L361" s="213"/>
      <c r="M361" s="209"/>
      <c r="N361"/>
      <c r="O361"/>
      <c r="P361"/>
      <c r="Q361"/>
      <c r="R361"/>
      <c r="S361"/>
      <c r="T361"/>
      <c r="U361"/>
      <c r="AE361"/>
      <c r="AF361"/>
      <c r="AG361"/>
      <c r="AH361"/>
      <c r="AI361"/>
      <c r="AJ361"/>
      <c r="AK361"/>
      <c r="AL361"/>
      <c r="AM361"/>
      <c r="AN361"/>
      <c r="AO361"/>
      <c r="AP361"/>
      <c r="AQ361"/>
      <c r="AR361"/>
      <c r="AS361"/>
      <c r="AT361"/>
      <c r="AU361"/>
      <c r="AV361"/>
      <c r="AW361"/>
      <c r="AX361"/>
      <c r="AY361"/>
      <c r="AZ361"/>
      <c r="BA361"/>
      <c r="BB361"/>
      <c r="BC361"/>
      <c r="BD361"/>
      <c r="BE361"/>
    </row>
    <row r="363" spans="1:57" x14ac:dyDescent="0.2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row>
    <row r="364" spans="1:57" x14ac:dyDescent="0.25">
      <c r="N364" s="5"/>
      <c r="O364" s="5"/>
      <c r="P364" s="5"/>
      <c r="Q364" s="5"/>
      <c r="R364" s="5"/>
      <c r="S364" s="5"/>
      <c r="T364" s="5"/>
      <c r="U364" s="5"/>
    </row>
    <row r="373" spans="31:57" x14ac:dyDescent="0.2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row>
    <row r="389" spans="31:57" x14ac:dyDescent="0.2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row>
  </sheetData>
  <mergeCells count="98">
    <mergeCell ref="B2:C2"/>
    <mergeCell ref="E163:G163"/>
    <mergeCell ref="J163:K163"/>
    <mergeCell ref="H163:I163"/>
    <mergeCell ref="J116:K116"/>
    <mergeCell ref="J105:K105"/>
    <mergeCell ref="H105:I105"/>
    <mergeCell ref="H116:I116"/>
    <mergeCell ref="F105:G105"/>
    <mergeCell ref="F116:G116"/>
    <mergeCell ref="B4:L4"/>
    <mergeCell ref="B103:E103"/>
    <mergeCell ref="B15:D15"/>
    <mergeCell ref="H125:I125"/>
    <mergeCell ref="B24:D24"/>
    <mergeCell ref="B35:D35"/>
    <mergeCell ref="B60:C60"/>
    <mergeCell ref="C63:D63"/>
    <mergeCell ref="C70:D70"/>
    <mergeCell ref="L163:M163"/>
    <mergeCell ref="F125:G125"/>
    <mergeCell ref="L103:M103"/>
    <mergeCell ref="F140:G140"/>
    <mergeCell ref="H140:I140"/>
    <mergeCell ref="J140:K140"/>
    <mergeCell ref="B160:M160"/>
    <mergeCell ref="L188:M188"/>
    <mergeCell ref="F228:G228"/>
    <mergeCell ref="H228:I228"/>
    <mergeCell ref="J190:K190"/>
    <mergeCell ref="J228:K228"/>
    <mergeCell ref="B188:E188"/>
    <mergeCell ref="B161:E161"/>
    <mergeCell ref="J125:K125"/>
    <mergeCell ref="E351:G351"/>
    <mergeCell ref="H351:I351"/>
    <mergeCell ref="J351:K351"/>
    <mergeCell ref="B307:M307"/>
    <mergeCell ref="E274:G274"/>
    <mergeCell ref="H274:I274"/>
    <mergeCell ref="J274:K274"/>
    <mergeCell ref="L274:M274"/>
    <mergeCell ref="B305:E305"/>
    <mergeCell ref="L305:M305"/>
    <mergeCell ref="F309:G309"/>
    <mergeCell ref="H309:I309"/>
    <mergeCell ref="J309:K309"/>
    <mergeCell ref="L351:M351"/>
    <mergeCell ref="B348:M348"/>
    <mergeCell ref="F328:G328"/>
    <mergeCell ref="H328:I328"/>
    <mergeCell ref="J328:K328"/>
    <mergeCell ref="T9:U9"/>
    <mergeCell ref="B86:D86"/>
    <mergeCell ref="B74:D74"/>
    <mergeCell ref="B67:D67"/>
    <mergeCell ref="B101:D101"/>
    <mergeCell ref="C77:D77"/>
    <mergeCell ref="B81:C81"/>
    <mergeCell ref="C84:D84"/>
    <mergeCell ref="B56:E56"/>
    <mergeCell ref="O9:Q9"/>
    <mergeCell ref="O18:Q18"/>
    <mergeCell ref="B99:D99"/>
    <mergeCell ref="B89:D89"/>
    <mergeCell ref="B57:D57"/>
    <mergeCell ref="B11:D11"/>
    <mergeCell ref="B55:E55"/>
    <mergeCell ref="F249:G249"/>
    <mergeCell ref="H249:I249"/>
    <mergeCell ref="J249:K249"/>
    <mergeCell ref="F190:G190"/>
    <mergeCell ref="H190:I190"/>
    <mergeCell ref="F241:G241"/>
    <mergeCell ref="H241:I241"/>
    <mergeCell ref="J241:K241"/>
    <mergeCell ref="F220:G220"/>
    <mergeCell ref="H220:I220"/>
    <mergeCell ref="J220:K220"/>
    <mergeCell ref="F201:G201"/>
    <mergeCell ref="H201:I201"/>
    <mergeCell ref="J201:K201"/>
    <mergeCell ref="B272:E272"/>
    <mergeCell ref="AE3:BE3"/>
    <mergeCell ref="B349:E349"/>
    <mergeCell ref="AF5:AG5"/>
    <mergeCell ref="AH5:AI5"/>
    <mergeCell ref="AJ5:AK5"/>
    <mergeCell ref="AL5:AM5"/>
    <mergeCell ref="AN5:AO5"/>
    <mergeCell ref="AP5:AQ5"/>
    <mergeCell ref="AR5:AS5"/>
    <mergeCell ref="AT5:AU5"/>
    <mergeCell ref="AV5:AW5"/>
    <mergeCell ref="AX5:AY5"/>
    <mergeCell ref="AZ5:BA5"/>
    <mergeCell ref="BB5:BC5"/>
    <mergeCell ref="B271:M271"/>
  </mergeCells>
  <phoneticPr fontId="2" type="noConversion"/>
  <hyperlinks>
    <hyperlink ref="B2" location="Tilakokonaisuus!A1" display="PALAA ETUSIVULLE" xr:uid="{142E09B2-4A59-4D42-A2AF-01B86AED4B67}"/>
    <hyperlink ref="B2:C2" location="'Gårdens info'!A1" display="TILL FRAMSIDAN" xr:uid="{E8CB04F8-AF19-9B43-B069-6D874F37A462}"/>
    <hyperlink ref="B15" location="'Avomaan mansikka'!B41" display="PERUSTAMISVUODEN KUSTANNUKSET" xr:uid="{AC73E094-080E-B446-B70E-102D507BE0DE}"/>
    <hyperlink ref="B24" location="'Jordgubbe friland'!B199" display="SKÖRDEÅRENS KOSTNADER" xr:uid="{A0BEE72A-DB26-A04E-B5D3-48C69DF74437}"/>
    <hyperlink ref="B35" location="'Jordgubbe friland'!B309" display="RÖJNINGSÅRETS KOSTNADER" xr:uid="{FA925DBB-ACF2-3847-928A-4A7B84B852FE}"/>
    <hyperlink ref="B15:D15" location="'Jordgubbe friland'!B105" display="ETABLERINGSÅRETS KOSTNADER" xr:uid="{CD528046-7244-DB44-82A9-593423C57683}"/>
    <hyperlink ref="B89" location="'Avomaan mansikka'!B41" display="PERUSTAMISVUODEN KUSTANNUKSET" xr:uid="{11553C72-136D-B942-8EA2-AB73B6B607C5}"/>
    <hyperlink ref="B89:D89" location="'Avomaan mansikka'!B43" display="PERUSTAMISVUODEN KUSTANNUKSET" xr:uid="{71A56877-1803-764E-B3EF-DAE7B54CF051}"/>
    <hyperlink ref="B55:E55" location="'Gårdens info'!C97" display="ALMÄNNA KOSTNADERT, jordgubbens andel" xr:uid="{5BD01ACA-CE92-CB4D-A411-890ED1A5A1A2}"/>
    <hyperlink ref="B60:C60" location="Omaisuus!B15" display="RAKENNUKSET" xr:uid="{BC3EBBCA-85FD-B34D-B322-F30CB63EC4EA}"/>
    <hyperlink ref="B67:D67" location="Omaisuus!B28" display="KONEET JA KALUSTO" xr:uid="{97CD3196-6531-DA4B-92CD-EF6A1DDD1947}"/>
    <hyperlink ref="B74:D74" location="Omaisuus!B51" display="PIDEMPIAIKAISET TUOTANTOVÄLINEET" xr:uid="{FF0205AF-B9D9-DB47-B025-33ECCFD0FA52}"/>
    <hyperlink ref="B81:C81" location="Omaisuus!B70" display="SALAOJAT" xr:uid="{EBC4BCBA-6AF3-6149-9AC8-B3E4C1C4F04A}"/>
    <hyperlink ref="L103" location="'Avomaan mansikka'!B2" display="PALAA SIVUN YLÄLAITAAN" xr:uid="{3E9CD52F-3DF8-1D46-8554-92D3CC75F42A}"/>
    <hyperlink ref="L188" location="'Avomaan mansikka'!B2" display="PALAA SIVUN YLÄLAITAAN" xr:uid="{A0E1F29B-F807-504C-B698-F5C224AD4F7C}"/>
    <hyperlink ref="L305" location="'Avomaan mansikka'!B2" display="PALAA SIVUN YLÄLAITAAN" xr:uid="{6A04DB08-DFF3-2040-8F4F-9E5BDEBFE9B2}"/>
    <hyperlink ref="B272:E272" location="'Jordgubbe friland'!AP2" display="Här kommer du till den månatliga arbetsanvändningstabellen" xr:uid="{6D79D60B-5DD7-8E4F-A18A-C1D40CEA7910}"/>
    <hyperlink ref="B161" location="'Jordgubbe friland'!AP2" display="Här kommer du till den månatliga arbetsanvändningstabellen" xr:uid="{FDC2BFCF-1CC9-48AA-8831-9AF5D031BC71}"/>
    <hyperlink ref="L103:M103" location="'Jordgubbe friland'!A1" display="TILL SIDANS BÖRJAN" xr:uid="{16B23FAB-501E-488D-92DC-072FDF361467}"/>
    <hyperlink ref="L188:M188" location="'Jordgubbe friland'!A1" display="TILL SIDANS BÖRJAN" xr:uid="{79956DE1-A5B8-44EE-88F6-DD2A2CD4CC92}"/>
    <hyperlink ref="L305:M305" location="'Jordgubbe friland'!A1" display="TILL SIDANS BÖRJAN" xr:uid="{E329AEC5-1E76-4AF3-969D-19E4AD1D38BD}"/>
    <hyperlink ref="B349:E349" location="'Jordgubbe friland'!AP2" display="Här kommer du till den månatliga arbetsanvändningstabellen" xr:uid="{C211DD7A-AE9E-493F-92E0-20B61EE965F8}"/>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15F9-0C3A-BB48-A793-702F09B1683B}">
  <sheetPr>
    <tabColor theme="5"/>
  </sheetPr>
  <dimension ref="A1:AE241"/>
  <sheetViews>
    <sheetView zoomScale="73" zoomScaleNormal="57" workbookViewId="0">
      <selection activeCell="E168" sqref="E168"/>
    </sheetView>
  </sheetViews>
  <sheetFormatPr defaultColWidth="11.44140625" defaultRowHeight="13.2" x14ac:dyDescent="0.25"/>
  <cols>
    <col min="1" max="1" width="5.33203125" style="515" customWidth="1"/>
    <col min="3" max="3" width="16.6640625" customWidth="1"/>
    <col min="4" max="4" width="22.6640625" customWidth="1"/>
    <col min="5" max="5" width="12.109375" bestFit="1" customWidth="1"/>
    <col min="6" max="6" width="20.6640625" bestFit="1" customWidth="1"/>
    <col min="7" max="7" width="6.332031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9.109375" customWidth="1"/>
    <col min="16" max="16" width="4.44140625" customWidth="1"/>
    <col min="17" max="17" width="15" customWidth="1"/>
    <col min="18" max="18" width="5.109375" customWidth="1"/>
    <col min="19" max="19" width="18.33203125" bestFit="1" customWidth="1"/>
  </cols>
  <sheetData>
    <row r="1" spans="1:21" s="329" customFormat="1" ht="22.8" x14ac:dyDescent="0.4">
      <c r="A1" s="515"/>
      <c r="B1" s="519" t="s">
        <v>36</v>
      </c>
    </row>
    <row r="2" spans="1:21" ht="27" customHeight="1" x14ac:dyDescent="0.25">
      <c r="B2" s="1107" t="s">
        <v>201</v>
      </c>
      <c r="C2" s="1107"/>
      <c r="F2" s="69"/>
      <c r="G2" s="69"/>
      <c r="H2" s="69"/>
    </row>
    <row r="3" spans="1:21" ht="27" customHeight="1" x14ac:dyDescent="0.3">
      <c r="B3" s="189"/>
      <c r="C3" s="189"/>
    </row>
    <row r="4" spans="1:21" ht="139.94999999999999" customHeight="1" x14ac:dyDescent="0.3">
      <c r="B4" s="1098" t="s">
        <v>548</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641</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21" customHeight="1" thickBot="1" x14ac:dyDescent="0.35">
      <c r="B9" s="227"/>
      <c r="C9" s="228" t="s">
        <v>205</v>
      </c>
      <c r="D9" s="119"/>
      <c r="E9" s="119"/>
      <c r="F9" s="229">
        <f>IF('Gårdens info'!D29&gt;0,H9*'Gårdens info'!G29,0)</f>
        <v>0</v>
      </c>
      <c r="G9" s="119" t="s">
        <v>57</v>
      </c>
      <c r="H9" s="298">
        <f>IF('Gårdens info'!G29&gt;0,(('Gårdens info'!G29*S10*T10)+('Gårdens info'!G29*S11*T11)+('Gårdens info'!G29*S12*T12)+('Gårdens info'!G29*S13*T13)+('Gårdens info'!G29*S14*T14)+('Gårdens info'!G29*S15*T15)+('Gårdens info'!G29*S16*T16)+('Gårdens info'!G29*S17*T17))/(('Gårdens info'!G29)),0)</f>
        <v>7.52</v>
      </c>
      <c r="I9" s="119" t="s">
        <v>206</v>
      </c>
      <c r="J9" s="229">
        <f>F9*'Gårdens info'!D29</f>
        <v>0</v>
      </c>
      <c r="K9" s="119" t="s">
        <v>554</v>
      </c>
      <c r="L9" s="119"/>
      <c r="M9" s="226"/>
      <c r="N9" s="369"/>
      <c r="O9" s="1095" t="s">
        <v>208</v>
      </c>
      <c r="P9" s="1095"/>
      <c r="Q9" s="1095"/>
      <c r="R9" s="230"/>
      <c r="S9" s="951" t="s">
        <v>209</v>
      </c>
      <c r="T9" s="1086" t="s">
        <v>210</v>
      </c>
      <c r="U9" s="1087"/>
    </row>
    <row r="10" spans="1:21" ht="15.6" thickBot="1" x14ac:dyDescent="0.3">
      <c r="B10" s="227"/>
      <c r="C10" s="119" t="s">
        <v>211</v>
      </c>
      <c r="D10" s="119"/>
      <c r="E10" s="119"/>
      <c r="F10" s="229">
        <f>IF('Gårdens info'!D29&gt;0,Stöd!L15,0)</f>
        <v>0</v>
      </c>
      <c r="G10" s="119" t="s">
        <v>57</v>
      </c>
      <c r="H10" s="298">
        <f>IF('Gårdens info'!G30&gt;0,F10/'Gårdens info'!G28,0)</f>
        <v>0</v>
      </c>
      <c r="I10" s="119" t="s">
        <v>206</v>
      </c>
      <c r="J10" s="229">
        <f>F10*'Gårdens info'!D29</f>
        <v>0</v>
      </c>
      <c r="K10" s="119" t="s">
        <v>554</v>
      </c>
      <c r="L10" s="119"/>
      <c r="M10" s="226"/>
      <c r="N10" s="369"/>
      <c r="O10" s="119">
        <v>1</v>
      </c>
      <c r="P10" s="119" t="s">
        <v>212</v>
      </c>
      <c r="Q10" s="119" t="s">
        <v>556</v>
      </c>
      <c r="R10" s="119"/>
      <c r="S10" s="377">
        <v>0</v>
      </c>
      <c r="T10" s="255">
        <v>5.89</v>
      </c>
      <c r="U10" s="239" t="s">
        <v>206</v>
      </c>
    </row>
    <row r="11" spans="1:21" s="5" customFormat="1" ht="21.6" customHeight="1" thickBot="1" x14ac:dyDescent="0.45">
      <c r="A11" s="516"/>
      <c r="B11" s="1061" t="s">
        <v>214</v>
      </c>
      <c r="C11" s="1043"/>
      <c r="D11" s="1043"/>
      <c r="E11" s="262"/>
      <c r="F11" s="266">
        <f>F9+F10</f>
        <v>0</v>
      </c>
      <c r="G11" s="267" t="s">
        <v>57</v>
      </c>
      <c r="H11" s="268">
        <f>H9+H10</f>
        <v>7.52</v>
      </c>
      <c r="I11" s="267" t="s">
        <v>206</v>
      </c>
      <c r="J11" s="269">
        <f>J9+J10</f>
        <v>0</v>
      </c>
      <c r="K11" s="267" t="s">
        <v>554</v>
      </c>
      <c r="L11" s="267"/>
      <c r="M11" s="259"/>
      <c r="N11" s="370"/>
      <c r="O11" s="119">
        <v>3</v>
      </c>
      <c r="P11" s="119" t="s">
        <v>212</v>
      </c>
      <c r="Q11" s="119" t="s">
        <v>558</v>
      </c>
      <c r="R11" s="119"/>
      <c r="S11" s="379">
        <v>0</v>
      </c>
      <c r="T11" s="380"/>
      <c r="U11" s="239" t="s">
        <v>206</v>
      </c>
    </row>
    <row r="12" spans="1:21" s="5" customFormat="1" ht="21.6" thickBot="1" x14ac:dyDescent="0.45">
      <c r="A12" s="516"/>
      <c r="B12" s="288"/>
      <c r="C12" s="270"/>
      <c r="D12" s="270"/>
      <c r="E12" s="262"/>
      <c r="F12" s="266"/>
      <c r="G12" s="267"/>
      <c r="H12" s="268"/>
      <c r="I12" s="267"/>
      <c r="J12" s="269"/>
      <c r="K12" s="267"/>
      <c r="L12" s="267"/>
      <c r="M12" s="259"/>
      <c r="N12" s="370"/>
      <c r="O12" s="119">
        <v>5</v>
      </c>
      <c r="P12" s="119" t="s">
        <v>212</v>
      </c>
      <c r="Q12" s="119" t="s">
        <v>558</v>
      </c>
      <c r="R12" s="119"/>
      <c r="S12" s="379">
        <v>0</v>
      </c>
      <c r="T12" s="380"/>
      <c r="U12" s="239" t="s">
        <v>206</v>
      </c>
    </row>
    <row r="13" spans="1:21" ht="22.2" customHeight="1" thickBot="1" x14ac:dyDescent="0.35">
      <c r="B13" s="231"/>
      <c r="C13" s="225"/>
      <c r="D13" s="116"/>
      <c r="E13" s="116"/>
      <c r="F13" s="116"/>
      <c r="G13" s="116"/>
      <c r="H13" s="116"/>
      <c r="I13" s="116"/>
      <c r="J13" s="232"/>
      <c r="K13" s="116"/>
      <c r="L13" s="116"/>
      <c r="M13" s="226"/>
      <c r="N13" s="369"/>
      <c r="O13" s="119">
        <v>0.5</v>
      </c>
      <c r="P13" s="119" t="s">
        <v>212</v>
      </c>
      <c r="Q13" s="119" t="s">
        <v>561</v>
      </c>
      <c r="R13" s="119"/>
      <c r="S13" s="379">
        <v>0.1</v>
      </c>
      <c r="T13" s="255">
        <v>7.52</v>
      </c>
      <c r="U13" s="239" t="s">
        <v>206</v>
      </c>
    </row>
    <row r="14" spans="1:21" ht="21.6" thickBot="1" x14ac:dyDescent="0.45">
      <c r="B14" s="257" t="s">
        <v>186</v>
      </c>
      <c r="C14" s="225"/>
      <c r="D14" s="116"/>
      <c r="E14" s="116"/>
      <c r="F14" s="116"/>
      <c r="G14" s="116"/>
      <c r="H14" s="116"/>
      <c r="I14" s="116"/>
      <c r="J14" s="232"/>
      <c r="K14" s="116"/>
      <c r="L14" s="116"/>
      <c r="M14" s="226"/>
      <c r="N14" s="369"/>
      <c r="O14" s="119">
        <v>0.25</v>
      </c>
      <c r="P14" s="119" t="s">
        <v>212</v>
      </c>
      <c r="Q14" s="119" t="s">
        <v>561</v>
      </c>
      <c r="R14" s="119"/>
      <c r="S14" s="379">
        <v>0.9</v>
      </c>
      <c r="T14" s="255">
        <v>7.52</v>
      </c>
      <c r="U14" s="239" t="s">
        <v>206</v>
      </c>
    </row>
    <row r="15" spans="1:21" s="56" customFormat="1" ht="16.95" customHeight="1" thickBot="1" x14ac:dyDescent="0.35">
      <c r="A15" s="517"/>
      <c r="B15" s="1138" t="s">
        <v>564</v>
      </c>
      <c r="C15" s="1139"/>
      <c r="D15" s="1139"/>
      <c r="E15" s="249"/>
      <c r="F15" s="250"/>
      <c r="G15" s="120"/>
      <c r="H15" s="249"/>
      <c r="I15" s="249"/>
      <c r="J15" s="249"/>
      <c r="K15" s="249"/>
      <c r="L15" s="249"/>
      <c r="M15" s="234"/>
      <c r="N15" s="369"/>
      <c r="O15" s="651">
        <f>D131</f>
        <v>0</v>
      </c>
      <c r="P15" s="119" t="s">
        <v>212</v>
      </c>
      <c r="Q15" s="298" t="s">
        <v>511</v>
      </c>
      <c r="R15" s="119"/>
      <c r="S15" s="379">
        <v>0</v>
      </c>
      <c r="T15" s="255"/>
      <c r="U15" s="239" t="s">
        <v>206</v>
      </c>
    </row>
    <row r="16" spans="1:21" s="69" customFormat="1" ht="21" customHeight="1" thickBot="1" x14ac:dyDescent="0.35">
      <c r="A16" s="518"/>
      <c r="B16" s="248"/>
      <c r="C16" s="228" t="s">
        <v>382</v>
      </c>
      <c r="D16" s="236"/>
      <c r="E16" s="236"/>
      <c r="F16" s="237">
        <f>IF('Gårdens info'!D29&gt;0,J77,0)</f>
        <v>0</v>
      </c>
      <c r="G16" s="119" t="s">
        <v>57</v>
      </c>
      <c r="H16" s="238">
        <f>IF('Gårdens info'!$G$29&gt;0,F16/'Gårdens info'!$G$29,0)</f>
        <v>0</v>
      </c>
      <c r="I16" s="119" t="s">
        <v>206</v>
      </c>
      <c r="J16" s="237">
        <f>F16*'Gårdens info'!$D$29</f>
        <v>0</v>
      </c>
      <c r="K16" s="119" t="s">
        <v>554</v>
      </c>
      <c r="L16" s="236"/>
      <c r="M16" s="234"/>
      <c r="N16" s="369"/>
      <c r="O16" s="651">
        <f t="shared" ref="O16:O17" si="0">D132</f>
        <v>0</v>
      </c>
      <c r="P16" s="119" t="s">
        <v>212</v>
      </c>
      <c r="Q16" s="298" t="s">
        <v>511</v>
      </c>
      <c r="R16" s="119"/>
      <c r="S16" s="379">
        <v>0</v>
      </c>
      <c r="T16" s="255"/>
      <c r="U16" s="239" t="s">
        <v>206</v>
      </c>
    </row>
    <row r="17" spans="1:31" s="69" customFormat="1" ht="15.6" thickBot="1" x14ac:dyDescent="0.3">
      <c r="A17" s="518"/>
      <c r="B17" s="235"/>
      <c r="C17" s="228" t="s">
        <v>642</v>
      </c>
      <c r="D17" s="236"/>
      <c r="E17" s="236"/>
      <c r="F17" s="237">
        <f>IF('Gårdens info'!D29&gt;0,J94,0)</f>
        <v>0</v>
      </c>
      <c r="G17" s="119" t="s">
        <v>57</v>
      </c>
      <c r="H17" s="238">
        <f>IF('Gårdens info'!$G$29&gt;0,F17/'Gårdens info'!$G$29,0)</f>
        <v>0</v>
      </c>
      <c r="I17" s="119" t="s">
        <v>206</v>
      </c>
      <c r="J17" s="237">
        <f>F17*'Gårdens info'!$D$29</f>
        <v>0</v>
      </c>
      <c r="K17" s="119" t="s">
        <v>554</v>
      </c>
      <c r="L17" s="236"/>
      <c r="M17" s="239"/>
      <c r="N17" s="369"/>
      <c r="O17" s="651">
        <f t="shared" si="0"/>
        <v>0</v>
      </c>
      <c r="P17" s="119" t="s">
        <v>212</v>
      </c>
      <c r="Q17" s="298" t="s">
        <v>511</v>
      </c>
      <c r="R17" s="119"/>
      <c r="S17" s="379">
        <v>0</v>
      </c>
      <c r="T17" s="255"/>
      <c r="U17" s="239" t="s">
        <v>206</v>
      </c>
    </row>
    <row r="18" spans="1:31" s="69" customFormat="1" ht="17.399999999999999" x14ac:dyDescent="0.3">
      <c r="A18" s="518"/>
      <c r="B18" s="235"/>
      <c r="C18" s="228" t="s">
        <v>220</v>
      </c>
      <c r="D18" s="236"/>
      <c r="E18" s="236"/>
      <c r="F18" s="237">
        <f>IF('Gårdens info'!D29&gt;0,J113,0)</f>
        <v>0</v>
      </c>
      <c r="G18" s="119" t="s">
        <v>57</v>
      </c>
      <c r="H18" s="238">
        <f>IF('Gårdens info'!$G$29&gt;0,F18/'Gårdens info'!$G$29,0)</f>
        <v>0</v>
      </c>
      <c r="I18" s="119" t="s">
        <v>206</v>
      </c>
      <c r="J18" s="237">
        <f>F18*'Gårdens info'!$D$29</f>
        <v>0</v>
      </c>
      <c r="K18" s="119" t="s">
        <v>554</v>
      </c>
      <c r="L18" s="236"/>
      <c r="M18" s="239"/>
      <c r="N18" s="371"/>
      <c r="O18" s="1088" t="s">
        <v>54</v>
      </c>
      <c r="P18" s="1088"/>
      <c r="Q18" s="1088"/>
      <c r="R18" s="120"/>
      <c r="S18" s="375">
        <f>SUM(S10:S17)</f>
        <v>1</v>
      </c>
      <c r="T18" s="120"/>
      <c r="U18" s="234"/>
    </row>
    <row r="19" spans="1:31" s="69" customFormat="1" ht="17.399999999999999" x14ac:dyDescent="0.3">
      <c r="A19" s="518"/>
      <c r="B19" s="235"/>
      <c r="C19" s="228" t="s">
        <v>574</v>
      </c>
      <c r="D19" s="236"/>
      <c r="E19" s="236"/>
      <c r="F19" s="237">
        <f>IF('Gårdens info'!D29&gt;0,J121,0)</f>
        <v>0</v>
      </c>
      <c r="G19" s="119" t="s">
        <v>57</v>
      </c>
      <c r="H19" s="238">
        <f>IF('Gårdens info'!$G$29&gt;0,F19/'Gårdens info'!$G$29,0)</f>
        <v>0</v>
      </c>
      <c r="I19" s="119" t="s">
        <v>206</v>
      </c>
      <c r="J19" s="237">
        <f>F19*'Gårdens info'!$D$29</f>
        <v>0</v>
      </c>
      <c r="K19" s="119" t="s">
        <v>554</v>
      </c>
      <c r="L19" s="236"/>
      <c r="M19" s="239"/>
      <c r="N19" s="371"/>
      <c r="O19" s="391"/>
      <c r="P19" s="391"/>
      <c r="Q19" s="391"/>
      <c r="R19" s="120"/>
      <c r="S19" s="375"/>
      <c r="T19" s="120"/>
      <c r="U19" s="234"/>
    </row>
    <row r="20" spans="1:31" s="69" customFormat="1" ht="15.6" x14ac:dyDescent="0.3">
      <c r="A20" s="518"/>
      <c r="B20" s="235"/>
      <c r="C20" s="950" t="s">
        <v>575</v>
      </c>
      <c r="D20" s="236"/>
      <c r="E20" s="236"/>
      <c r="F20" s="237">
        <f>IF('Gårdens info'!D29&gt;0,J134,0)</f>
        <v>0</v>
      </c>
      <c r="G20" s="119" t="s">
        <v>57</v>
      </c>
      <c r="H20" s="238">
        <f>IF('Gårdens info'!$G$29&gt;0,F20/'Gårdens info'!$G$29,0)</f>
        <v>0</v>
      </c>
      <c r="I20" s="119" t="s">
        <v>206</v>
      </c>
      <c r="J20" s="237">
        <f>F20*'Gårdens info'!$D$29</f>
        <v>0</v>
      </c>
      <c r="K20" s="119" t="s">
        <v>554</v>
      </c>
      <c r="L20" s="236"/>
      <c r="M20" s="239"/>
      <c r="N20" s="227"/>
      <c r="O20" s="376" t="str">
        <f>IF(S18=100%," ","HUOM! Osuus myyynneistä pitää summautua 100 prosenttiin")</f>
        <v xml:space="preserve"> </v>
      </c>
      <c r="P20" s="119"/>
      <c r="R20" s="119"/>
      <c r="S20" s="119"/>
      <c r="T20" s="119"/>
      <c r="U20" s="239"/>
    </row>
    <row r="21" spans="1:31" s="69" customFormat="1" ht="15.6" thickBot="1" x14ac:dyDescent="0.3">
      <c r="A21" s="518"/>
      <c r="B21" s="235"/>
      <c r="C21" s="950" t="s">
        <v>576</v>
      </c>
      <c r="D21" s="236"/>
      <c r="E21" s="236"/>
      <c r="F21" s="237">
        <f>IF('Gårdens info'!D29&gt;0,J142,0)</f>
        <v>0</v>
      </c>
      <c r="G21" s="119" t="s">
        <v>57</v>
      </c>
      <c r="H21" s="238">
        <f>IF('Gårdens info'!$G$29&gt;0,F21/'Gårdens info'!$G$29,0)</f>
        <v>0</v>
      </c>
      <c r="I21" s="119" t="s">
        <v>206</v>
      </c>
      <c r="J21" s="237">
        <f>F21*'Gårdens info'!$D$29</f>
        <v>0</v>
      </c>
      <c r="K21" s="119" t="s">
        <v>554</v>
      </c>
      <c r="L21" s="236"/>
      <c r="M21" s="239"/>
      <c r="N21" s="372"/>
      <c r="O21" s="373"/>
      <c r="P21" s="373"/>
      <c r="Q21" s="373"/>
      <c r="R21" s="373"/>
      <c r="S21" s="373"/>
      <c r="T21" s="373"/>
      <c r="U21" s="374"/>
    </row>
    <row r="22" spans="1:31" s="69" customFormat="1" ht="15" x14ac:dyDescent="0.25">
      <c r="A22" s="518"/>
      <c r="B22" s="235"/>
      <c r="C22" s="228" t="s">
        <v>568</v>
      </c>
      <c r="D22" s="236"/>
      <c r="E22" s="236"/>
      <c r="F22" s="237">
        <f>IF('Gårdens info'!D29&gt;0,J150,0)</f>
        <v>0</v>
      </c>
      <c r="G22" s="119" t="s">
        <v>57</v>
      </c>
      <c r="H22" s="238">
        <f>IF('Gårdens info'!$G$29&gt;0,F22/'Gårdens info'!$G$29,0)</f>
        <v>0</v>
      </c>
      <c r="I22" s="119" t="s">
        <v>206</v>
      </c>
      <c r="J22" s="237">
        <f>F22*'Gårdens info'!$D$29</f>
        <v>0</v>
      </c>
      <c r="K22" s="119" t="s">
        <v>554</v>
      </c>
      <c r="L22" s="236"/>
      <c r="M22" s="239"/>
    </row>
    <row r="23" spans="1:31" s="69" customFormat="1" ht="15" x14ac:dyDescent="0.25">
      <c r="A23" s="518"/>
      <c r="B23" s="235"/>
      <c r="C23" s="228" t="s">
        <v>224</v>
      </c>
      <c r="D23" s="236"/>
      <c r="E23" s="236"/>
      <c r="F23" s="237">
        <f>IF('Gårdens info'!D29&gt;0,J160,0)</f>
        <v>0</v>
      </c>
      <c r="G23" s="119" t="s">
        <v>57</v>
      </c>
      <c r="H23" s="238">
        <f>IF('Gårdens info'!$G$29&gt;0,F23/'Gårdens info'!$G$29,0)</f>
        <v>0</v>
      </c>
      <c r="I23" s="119" t="s">
        <v>206</v>
      </c>
      <c r="J23" s="237">
        <f>F23*'Gårdens info'!$D$29</f>
        <v>0</v>
      </c>
      <c r="K23" s="119" t="s">
        <v>554</v>
      </c>
      <c r="L23" s="236"/>
      <c r="M23" s="239"/>
    </row>
    <row r="24" spans="1:31" ht="15" x14ac:dyDescent="0.25">
      <c r="B24" s="235"/>
      <c r="C24" s="228" t="s">
        <v>570</v>
      </c>
      <c r="D24" s="236"/>
      <c r="E24" s="236"/>
      <c r="F24" s="237">
        <f>IF('Gårdens info'!D29&gt;0,L190,0)</f>
        <v>0</v>
      </c>
      <c r="G24" s="119" t="s">
        <v>57</v>
      </c>
      <c r="H24" s="238">
        <f>IF('Gårdens info'!$G$29&gt;0,F24/'Gårdens info'!$G$29,0)</f>
        <v>0</v>
      </c>
      <c r="I24" s="119" t="s">
        <v>206</v>
      </c>
      <c r="J24" s="237">
        <f>F24*'Gårdens info'!$D$29</f>
        <v>0</v>
      </c>
      <c r="K24" s="119" t="s">
        <v>554</v>
      </c>
      <c r="L24" s="236"/>
      <c r="M24" s="239"/>
      <c r="N24" s="69"/>
      <c r="O24" s="69"/>
      <c r="P24" s="69"/>
      <c r="Q24" s="69"/>
      <c r="R24" s="69"/>
      <c r="S24" s="69"/>
      <c r="T24" s="69"/>
      <c r="U24" s="69"/>
    </row>
    <row r="25" spans="1:31" s="56" customFormat="1" ht="17.399999999999999" x14ac:dyDescent="0.3">
      <c r="A25" s="517"/>
      <c r="B25" s="251"/>
      <c r="C25" s="240" t="s">
        <v>54</v>
      </c>
      <c r="D25" s="241"/>
      <c r="E25" s="241"/>
      <c r="F25" s="242">
        <f>SUM(F16:F24)</f>
        <v>0</v>
      </c>
      <c r="G25" s="243" t="s">
        <v>57</v>
      </c>
      <c r="H25" s="244">
        <f>SUM(H16:H24)</f>
        <v>0</v>
      </c>
      <c r="I25" s="243" t="s">
        <v>206</v>
      </c>
      <c r="J25" s="242">
        <f>SUM(J16:J24)</f>
        <v>0</v>
      </c>
      <c r="K25" s="243" t="s">
        <v>554</v>
      </c>
      <c r="L25" s="241"/>
      <c r="M25" s="252"/>
      <c r="N25" s="69"/>
      <c r="O25" s="69"/>
      <c r="P25" s="69"/>
      <c r="Q25" s="69"/>
      <c r="R25" s="69"/>
      <c r="S25" s="69"/>
      <c r="T25" s="69"/>
      <c r="U25" s="69"/>
      <c r="AB25" s="737" t="str">
        <f>C16</f>
        <v>Plantor</v>
      </c>
      <c r="AC25" s="727">
        <f>F16</f>
        <v>0</v>
      </c>
      <c r="AD25" s="449"/>
      <c r="AE25" s="449"/>
    </row>
    <row r="26" spans="1:31" s="69" customFormat="1" ht="17.399999999999999" x14ac:dyDescent="0.3">
      <c r="A26" s="518"/>
      <c r="B26" s="286"/>
      <c r="C26" s="262"/>
      <c r="D26" s="262"/>
      <c r="E26" s="262"/>
      <c r="F26" s="263"/>
      <c r="G26" s="243"/>
      <c r="H26" s="264"/>
      <c r="I26" s="243"/>
      <c r="J26" s="258"/>
      <c r="K26" s="243"/>
      <c r="L26" s="265"/>
      <c r="M26" s="259"/>
      <c r="Q26" s="56"/>
      <c r="AB26" s="691" t="str">
        <f>C17</f>
        <v>Gödsel och substrat</v>
      </c>
      <c r="AC26" s="738">
        <f>F17</f>
        <v>0</v>
      </c>
      <c r="AD26" s="382"/>
      <c r="AE26" s="382"/>
    </row>
    <row r="27" spans="1:31" s="69" customFormat="1" ht="15.6" x14ac:dyDescent="0.3">
      <c r="A27" s="518"/>
      <c r="B27" s="1136" t="s">
        <v>643</v>
      </c>
      <c r="C27" s="1137"/>
      <c r="D27" s="1137"/>
      <c r="E27" s="1137"/>
      <c r="F27" s="263">
        <f>IF('Gårdens info'!D29&gt;0,J27/'Gårdens info'!D29,0)</f>
        <v>0</v>
      </c>
      <c r="G27" s="243" t="s">
        <v>57</v>
      </c>
      <c r="H27" s="264">
        <f>IF('Gårdens info'!G29&gt;0,F27/'Gårdens info'!G29,0)</f>
        <v>0</v>
      </c>
      <c r="I27" s="243" t="s">
        <v>206</v>
      </c>
      <c r="J27" s="258">
        <f>'Gårdens info'!G163/'Gårdens info'!D43*'Gårdens info'!D29</f>
        <v>0</v>
      </c>
      <c r="K27" s="243" t="s">
        <v>554</v>
      </c>
      <c r="L27" s="265"/>
      <c r="M27" s="259"/>
      <c r="N27"/>
      <c r="O27"/>
      <c r="P27"/>
      <c r="S27"/>
      <c r="T27"/>
      <c r="U27"/>
      <c r="AB27" s="691" t="str">
        <f>C18</f>
        <v>IPM Växtskydd</v>
      </c>
      <c r="AC27" s="738">
        <f t="shared" ref="AC27:AC33" si="1">F18</f>
        <v>0</v>
      </c>
      <c r="AD27" s="382"/>
      <c r="AE27" s="382"/>
    </row>
    <row r="28" spans="1:31" s="69" customFormat="1" ht="17.399999999999999" customHeight="1" x14ac:dyDescent="0.3">
      <c r="A28" s="518"/>
      <c r="B28" s="1091" t="s">
        <v>586</v>
      </c>
      <c r="C28" s="1092"/>
      <c r="D28" s="1092"/>
      <c r="E28" s="1092"/>
      <c r="F28" s="263">
        <f>IF('Gårdens info'!D29&gt;0,J28/'Gårdens info'!D29,0)</f>
        <v>0</v>
      </c>
      <c r="G28" s="243" t="s">
        <v>57</v>
      </c>
      <c r="H28" s="264">
        <f>IF('Gårdens info'!G29&gt;0,F28/'Gårdens info'!G29,0)</f>
        <v>0</v>
      </c>
      <c r="I28" s="243" t="s">
        <v>206</v>
      </c>
      <c r="J28" s="258">
        <f>'Gårdens info'!$D$48/'Gårdens info'!$D$49*'Gårdens info'!$G$48*'Gårdens info'!D29</f>
        <v>0</v>
      </c>
      <c r="K28" s="243" t="s">
        <v>554</v>
      </c>
      <c r="L28" s="265"/>
      <c r="M28" s="259"/>
      <c r="N28" s="56"/>
      <c r="O28" s="56"/>
      <c r="P28" s="56"/>
      <c r="S28" s="56"/>
      <c r="T28" s="56"/>
      <c r="U28" s="56"/>
      <c r="AB28" s="691" t="s">
        <v>644</v>
      </c>
      <c r="AC28" s="738">
        <f t="shared" si="1"/>
        <v>0</v>
      </c>
      <c r="AD28" s="382"/>
      <c r="AE28" s="382"/>
    </row>
    <row r="29" spans="1:31" s="69" customFormat="1" ht="21" customHeight="1" x14ac:dyDescent="0.4">
      <c r="A29" s="518"/>
      <c r="B29" s="1061" t="s">
        <v>189</v>
      </c>
      <c r="C29" s="1043"/>
      <c r="D29" s="1043"/>
      <c r="E29" s="262"/>
      <c r="F29" s="266">
        <f>F25+F27+F28</f>
        <v>0</v>
      </c>
      <c r="G29" s="267" t="s">
        <v>57</v>
      </c>
      <c r="H29" s="268">
        <f>H25+H27+H28</f>
        <v>0</v>
      </c>
      <c r="I29" s="267" t="s">
        <v>206</v>
      </c>
      <c r="J29" s="269">
        <f>J25+J27+J28</f>
        <v>0</v>
      </c>
      <c r="K29" s="267" t="s">
        <v>554</v>
      </c>
      <c r="L29" s="267"/>
      <c r="M29" s="259"/>
      <c r="AB29" s="691" t="str">
        <f t="shared" ref="AB29:AB33" si="2">C20</f>
        <v>Förpackningsmaterial</v>
      </c>
      <c r="AC29" s="738">
        <f t="shared" si="1"/>
        <v>0</v>
      </c>
      <c r="AD29" s="382"/>
      <c r="AE29" s="382"/>
    </row>
    <row r="30" spans="1:31" s="69" customFormat="1" ht="21" x14ac:dyDescent="0.4">
      <c r="A30" s="518"/>
      <c r="B30" s="288"/>
      <c r="C30" s="270"/>
      <c r="D30" s="270"/>
      <c r="E30" s="262"/>
      <c r="F30" s="266"/>
      <c r="G30" s="267"/>
      <c r="H30" s="268"/>
      <c r="I30" s="267"/>
      <c r="J30" s="269"/>
      <c r="K30" s="267"/>
      <c r="L30" s="267"/>
      <c r="M30" s="259"/>
      <c r="AB30" s="691" t="str">
        <f t="shared" si="2"/>
        <v>Frakt av produkter</v>
      </c>
      <c r="AC30" s="738">
        <f t="shared" si="1"/>
        <v>0</v>
      </c>
      <c r="AD30" s="382"/>
      <c r="AE30" s="382"/>
    </row>
    <row r="31" spans="1:31" s="69" customFormat="1" ht="21" x14ac:dyDescent="0.4">
      <c r="A31" s="518"/>
      <c r="B31" s="257" t="s">
        <v>588</v>
      </c>
      <c r="C31" s="225"/>
      <c r="D31" s="116"/>
      <c r="E31" s="116"/>
      <c r="F31" s="116"/>
      <c r="G31" s="116"/>
      <c r="H31" s="116"/>
      <c r="I31" s="116"/>
      <c r="J31" s="232"/>
      <c r="K31" s="116"/>
      <c r="L31" s="116"/>
      <c r="M31" s="226"/>
      <c r="AB31" s="691" t="str">
        <f t="shared" si="2"/>
        <v>Maskinhyra och entreprenad</v>
      </c>
      <c r="AC31" s="738">
        <f t="shared" si="1"/>
        <v>0</v>
      </c>
      <c r="AD31" s="382"/>
      <c r="AE31" s="382"/>
    </row>
    <row r="32" spans="1:31" s="69" customFormat="1" ht="21" x14ac:dyDescent="0.4">
      <c r="A32" s="518"/>
      <c r="B32" s="1081" t="s">
        <v>69</v>
      </c>
      <c r="C32" s="1082"/>
      <c r="D32" s="270"/>
      <c r="E32" s="262"/>
      <c r="F32" s="266"/>
      <c r="G32" s="267"/>
      <c r="H32" s="268"/>
      <c r="I32" s="267"/>
      <c r="J32" s="269"/>
      <c r="K32" s="267"/>
      <c r="L32" s="267"/>
      <c r="M32" s="259"/>
      <c r="AB32" s="691" t="str">
        <f t="shared" si="2"/>
        <v>Energikostnader</v>
      </c>
      <c r="AC32" s="738">
        <f t="shared" si="1"/>
        <v>0</v>
      </c>
      <c r="AD32" s="382"/>
      <c r="AE32" s="382"/>
    </row>
    <row r="33" spans="1:31" s="192" customFormat="1" ht="21" x14ac:dyDescent="0.4">
      <c r="A33" s="330"/>
      <c r="B33" s="287"/>
      <c r="C33" s="941" t="s">
        <v>229</v>
      </c>
      <c r="D33" s="942"/>
      <c r="E33" s="262"/>
      <c r="F33" s="276">
        <f>IF('Gårdens info'!$D$29&gt;0,J33/'Gårdens info'!$D$29,0)</f>
        <v>0</v>
      </c>
      <c r="G33" s="119" t="s">
        <v>57</v>
      </c>
      <c r="H33" s="277">
        <f>IF('Gårdens info'!$G$29&gt;0,F33/'Gårdens info'!$G$29,0)</f>
        <v>0</v>
      </c>
      <c r="I33" s="119" t="s">
        <v>206</v>
      </c>
      <c r="J33" s="237">
        <f>Egendom!AV25</f>
        <v>953.65152386428986</v>
      </c>
      <c r="K33" s="119" t="s">
        <v>554</v>
      </c>
      <c r="L33" s="267"/>
      <c r="M33" s="259"/>
      <c r="N33" s="69"/>
      <c r="O33" s="69"/>
      <c r="P33" s="69"/>
      <c r="Q33" s="69"/>
      <c r="R33" s="69"/>
      <c r="S33" s="69"/>
      <c r="T33" s="69"/>
      <c r="U33" s="69"/>
      <c r="AB33" s="691" t="str">
        <f t="shared" si="2"/>
        <v>Anställd personal</v>
      </c>
      <c r="AC33" s="738">
        <f t="shared" si="1"/>
        <v>0</v>
      </c>
      <c r="AD33" s="616"/>
      <c r="AE33" s="616"/>
    </row>
    <row r="34" spans="1:31" ht="21" x14ac:dyDescent="0.4">
      <c r="B34" s="287"/>
      <c r="C34" s="941" t="s">
        <v>230</v>
      </c>
      <c r="D34" s="942"/>
      <c r="E34" s="262"/>
      <c r="F34" s="276">
        <f>IF('Gårdens info'!$D$29&gt;0,J34/'Gårdens info'!$D$29,0)</f>
        <v>0</v>
      </c>
      <c r="G34" s="119" t="s">
        <v>57</v>
      </c>
      <c r="H34" s="277">
        <f>IF('Gårdens info'!$G$29&gt;0,F34/'Gårdens info'!$G$29,0)</f>
        <v>0</v>
      </c>
      <c r="I34" s="119" t="s">
        <v>206</v>
      </c>
      <c r="J34" s="237">
        <f>Egendom!BT25</f>
        <v>596.03220241518113</v>
      </c>
      <c r="K34" s="119" t="s">
        <v>554</v>
      </c>
      <c r="L34" s="267"/>
      <c r="M34" s="259"/>
      <c r="N34" s="69"/>
      <c r="O34" s="69"/>
      <c r="P34" s="69"/>
      <c r="Q34" s="192"/>
      <c r="R34" s="192"/>
      <c r="S34" s="69"/>
      <c r="T34" s="69"/>
      <c r="U34" s="69"/>
      <c r="AB34" s="384" t="s">
        <v>538</v>
      </c>
      <c r="AC34" s="692">
        <f>F27</f>
        <v>0</v>
      </c>
      <c r="AD34" s="381"/>
      <c r="AE34" s="381"/>
    </row>
    <row r="35" spans="1:31" ht="17.399999999999999" customHeight="1" x14ac:dyDescent="0.3">
      <c r="B35" s="287"/>
      <c r="C35" s="1108" t="s">
        <v>232</v>
      </c>
      <c r="D35" s="1108"/>
      <c r="E35" s="262"/>
      <c r="F35" s="276">
        <f>IF('Gårdens info'!$D$29&gt;0,J35/'Gårdens info'!$D$29,0)</f>
        <v>0</v>
      </c>
      <c r="G35" s="119" t="s">
        <v>57</v>
      </c>
      <c r="H35" s="277">
        <f>IF('Gårdens info'!$G$29&gt;0,F35/'Gårdens info'!$G$29,0)</f>
        <v>0</v>
      </c>
      <c r="I35" s="119" t="s">
        <v>206</v>
      </c>
      <c r="J35" s="237">
        <f>Egendom!CR25</f>
        <v>238.41288096607246</v>
      </c>
      <c r="K35" s="119" t="s">
        <v>554</v>
      </c>
      <c r="L35" s="267"/>
      <c r="M35" s="259"/>
      <c r="N35" s="69"/>
      <c r="O35" s="69"/>
      <c r="P35" s="69"/>
      <c r="S35" s="69"/>
      <c r="T35" s="69"/>
      <c r="U35" s="69"/>
      <c r="AB35" s="382" t="s">
        <v>482</v>
      </c>
      <c r="AC35" s="692">
        <f>F28</f>
        <v>0</v>
      </c>
      <c r="AD35" s="381"/>
      <c r="AE35" s="381"/>
    </row>
    <row r="36" spans="1:31" ht="21" x14ac:dyDescent="0.4">
      <c r="B36" s="287"/>
      <c r="C36" s="941" t="s">
        <v>483</v>
      </c>
      <c r="D36" s="942"/>
      <c r="E36" s="262"/>
      <c r="F36" s="276">
        <f>IF('Gårdens info'!$D$29&gt;0,J36/'Gårdens info'!$D$29,0)</f>
        <v>0</v>
      </c>
      <c r="G36" s="119" t="s">
        <v>57</v>
      </c>
      <c r="H36" s="277">
        <f>IF('Gårdens info'!$G$29&gt;0,F36/'Gårdens info'!$G$29,0)</f>
        <v>0</v>
      </c>
      <c r="I36" s="119" t="s">
        <v>206</v>
      </c>
      <c r="J36" s="237">
        <f>Egendom!DP25</f>
        <v>47.682576193214494</v>
      </c>
      <c r="K36" s="119" t="s">
        <v>554</v>
      </c>
      <c r="L36" s="267"/>
      <c r="M36" s="259"/>
      <c r="N36" s="192"/>
      <c r="O36" s="192"/>
      <c r="P36" s="192"/>
      <c r="S36" s="192"/>
      <c r="T36" s="192"/>
      <c r="U36" s="192"/>
      <c r="AB36" s="382" t="s">
        <v>235</v>
      </c>
      <c r="AC36" s="693">
        <f>F37</f>
        <v>0</v>
      </c>
      <c r="AD36" s="381"/>
      <c r="AE36" s="381"/>
    </row>
    <row r="37" spans="1:31" s="69" customFormat="1" ht="20.399999999999999" x14ac:dyDescent="0.35">
      <c r="A37" s="518"/>
      <c r="B37" s="289"/>
      <c r="C37" s="943" t="s">
        <v>54</v>
      </c>
      <c r="D37" s="944"/>
      <c r="E37" s="262"/>
      <c r="F37" s="280">
        <f>SUM(F33:F36)</f>
        <v>0</v>
      </c>
      <c r="G37" s="119" t="s">
        <v>57</v>
      </c>
      <c r="H37" s="285">
        <f t="shared" ref="H37:J37" si="3">SUM(H33:H36)</f>
        <v>0</v>
      </c>
      <c r="I37" s="119" t="s">
        <v>206</v>
      </c>
      <c r="J37" s="280">
        <f t="shared" si="3"/>
        <v>1835.7791834387581</v>
      </c>
      <c r="K37" s="119" t="s">
        <v>554</v>
      </c>
      <c r="L37" s="281"/>
      <c r="M37" s="259"/>
      <c r="N37"/>
      <c r="O37"/>
      <c r="P37"/>
      <c r="Q37"/>
      <c r="R37"/>
      <c r="S37"/>
      <c r="T37"/>
      <c r="U37"/>
      <c r="AB37" s="382" t="s">
        <v>236</v>
      </c>
      <c r="AC37" s="728">
        <f>F44</f>
        <v>0</v>
      </c>
      <c r="AD37" s="382"/>
      <c r="AE37" s="382"/>
    </row>
    <row r="38" spans="1:31" s="69" customFormat="1" ht="21" x14ac:dyDescent="0.4">
      <c r="A38" s="518"/>
      <c r="B38" s="287"/>
      <c r="C38" s="274"/>
      <c r="D38" s="270"/>
      <c r="E38" s="262"/>
      <c r="F38" s="276"/>
      <c r="G38" s="119"/>
      <c r="H38" s="277"/>
      <c r="I38" s="119"/>
      <c r="J38" s="237"/>
      <c r="K38" s="119"/>
      <c r="L38" s="267"/>
      <c r="M38" s="259"/>
      <c r="N38"/>
      <c r="O38"/>
      <c r="P38"/>
      <c r="S38"/>
      <c r="T38"/>
      <c r="U38"/>
      <c r="AB38" s="382" t="s">
        <v>237</v>
      </c>
      <c r="AC38" s="728">
        <f>F51</f>
        <v>0</v>
      </c>
      <c r="AD38" s="382"/>
      <c r="AE38" s="382"/>
    </row>
    <row r="39" spans="1:31" s="69" customFormat="1" ht="17.399999999999999" x14ac:dyDescent="0.3">
      <c r="A39" s="518"/>
      <c r="B39" s="1081" t="s">
        <v>83</v>
      </c>
      <c r="C39" s="1082"/>
      <c r="D39" s="1082"/>
      <c r="E39" s="262"/>
      <c r="F39" s="276"/>
      <c r="G39" s="119"/>
      <c r="H39" s="277"/>
      <c r="I39" s="119"/>
      <c r="J39" s="237"/>
      <c r="K39" s="119"/>
      <c r="L39" s="267"/>
      <c r="M39" s="259"/>
      <c r="N39"/>
      <c r="O39"/>
      <c r="P39"/>
      <c r="S39"/>
      <c r="T39"/>
      <c r="U39"/>
      <c r="AB39" s="382" t="s">
        <v>141</v>
      </c>
      <c r="AC39" s="728">
        <f>F57</f>
        <v>0</v>
      </c>
      <c r="AD39" s="382"/>
      <c r="AE39" s="382"/>
    </row>
    <row r="40" spans="1:31" s="5" customFormat="1" ht="21" x14ac:dyDescent="0.4">
      <c r="A40" s="516"/>
      <c r="B40" s="287"/>
      <c r="C40" s="941" t="s">
        <v>229</v>
      </c>
      <c r="D40" s="942"/>
      <c r="E40" s="262"/>
      <c r="F40" s="276">
        <f>IF('Gårdens info'!$D$29&gt;0,J40/'Gårdens info'!$D$29,0)</f>
        <v>0</v>
      </c>
      <c r="G40" s="119" t="s">
        <v>57</v>
      </c>
      <c r="H40" s="277">
        <f>IF('Gårdens info'!$G$29&gt;0,F40/'Gårdens info'!$G$29,0)</f>
        <v>0</v>
      </c>
      <c r="I40" s="119" t="s">
        <v>206</v>
      </c>
      <c r="J40" s="237">
        <f>Egendom!AV61</f>
        <v>765.63262411347512</v>
      </c>
      <c r="K40" s="119" t="s">
        <v>554</v>
      </c>
      <c r="L40" s="267"/>
      <c r="M40" s="259"/>
      <c r="N40" s="69"/>
      <c r="O40" s="69"/>
      <c r="P40" s="69"/>
      <c r="Q40" s="69"/>
      <c r="R40" s="69"/>
      <c r="S40" s="69"/>
      <c r="T40" s="69"/>
      <c r="U40" s="69"/>
      <c r="AB40" s="382" t="s">
        <v>192</v>
      </c>
      <c r="AC40" s="692">
        <f>F64</f>
        <v>0</v>
      </c>
      <c r="AD40" s="562"/>
      <c r="AE40" s="562"/>
    </row>
    <row r="41" spans="1:31" s="5" customFormat="1" ht="21" x14ac:dyDescent="0.4">
      <c r="A41" s="516"/>
      <c r="B41" s="287"/>
      <c r="C41" s="941" t="s">
        <v>230</v>
      </c>
      <c r="D41" s="942"/>
      <c r="E41" s="262"/>
      <c r="F41" s="276">
        <f>IF('Gårdens info'!$D$29&gt;0,J41/'Gårdens info'!$D$29,0)</f>
        <v>0</v>
      </c>
      <c r="G41" s="119" t="s">
        <v>57</v>
      </c>
      <c r="H41" s="277">
        <f>IF('Gårdens info'!$G$29&gt;0,F41/'Gårdens info'!$G$29,0)</f>
        <v>0</v>
      </c>
      <c r="I41" s="119" t="s">
        <v>206</v>
      </c>
      <c r="J41" s="237">
        <f>Egendom!BT61</f>
        <v>287.11223404255321</v>
      </c>
      <c r="K41" s="119" t="s">
        <v>554</v>
      </c>
      <c r="L41" s="267"/>
      <c r="M41" s="259"/>
      <c r="N41" s="69"/>
      <c r="O41" s="69"/>
      <c r="P41" s="69"/>
      <c r="Q41" s="69"/>
      <c r="R41" s="69"/>
      <c r="S41" s="69"/>
      <c r="T41" s="69"/>
      <c r="U41" s="69"/>
    </row>
    <row r="42" spans="1:31" s="5" customFormat="1" ht="17.399999999999999" customHeight="1" x14ac:dyDescent="0.3">
      <c r="A42" s="516"/>
      <c r="B42" s="287"/>
      <c r="C42" s="1108" t="s">
        <v>232</v>
      </c>
      <c r="D42" s="1108"/>
      <c r="E42" s="262"/>
      <c r="F42" s="276">
        <f>IF('Gårdens info'!$D$29&gt;0,J42/'Gårdens info'!$D$29,0)</f>
        <v>0</v>
      </c>
      <c r="G42" s="119" t="s">
        <v>57</v>
      </c>
      <c r="H42" s="277">
        <f>IF('Gårdens info'!$G$29&gt;0,F42/'Gårdens info'!$G$29,0)</f>
        <v>0</v>
      </c>
      <c r="I42" s="119" t="s">
        <v>206</v>
      </c>
      <c r="J42" s="237">
        <f>Egendom!CR61</f>
        <v>344.5346808510638</v>
      </c>
      <c r="K42" s="119" t="s">
        <v>554</v>
      </c>
      <c r="L42" s="267"/>
      <c r="M42" s="259"/>
      <c r="N42" s="69"/>
      <c r="O42" s="69"/>
      <c r="P42" s="69"/>
      <c r="Q42" s="69"/>
      <c r="R42" s="69"/>
      <c r="S42" s="69"/>
      <c r="T42" s="69"/>
      <c r="U42" s="69"/>
    </row>
    <row r="43" spans="1:31" s="5" customFormat="1" ht="21" x14ac:dyDescent="0.4">
      <c r="A43" s="516"/>
      <c r="B43" s="287"/>
      <c r="C43" s="941" t="s">
        <v>483</v>
      </c>
      <c r="D43" s="942"/>
      <c r="E43" s="262"/>
      <c r="F43" s="276">
        <f>IF('Gårdens info'!$D$29&gt;0,J43/'Gårdens info'!$D$29,0)</f>
        <v>0</v>
      </c>
      <c r="G43" s="119" t="s">
        <v>57</v>
      </c>
      <c r="H43" s="277">
        <f>IF('Gårdens info'!$G$29&gt;0,F43/'Gårdens info'!$G$29,0)</f>
        <v>0</v>
      </c>
      <c r="I43" s="119" t="s">
        <v>206</v>
      </c>
      <c r="J43" s="237">
        <f>Egendom!DP61</f>
        <v>22.968978723404252</v>
      </c>
      <c r="K43" s="119" t="s">
        <v>554</v>
      </c>
      <c r="L43" s="267"/>
      <c r="M43" s="259"/>
    </row>
    <row r="44" spans="1:31" s="5" customFormat="1" ht="20.399999999999999" x14ac:dyDescent="0.35">
      <c r="A44" s="516"/>
      <c r="B44" s="289"/>
      <c r="C44" s="943" t="s">
        <v>54</v>
      </c>
      <c r="D44" s="944"/>
      <c r="E44" s="262"/>
      <c r="F44" s="280">
        <f>SUM(F40:F43)</f>
        <v>0</v>
      </c>
      <c r="G44" s="119" t="s">
        <v>57</v>
      </c>
      <c r="H44" s="285">
        <f t="shared" ref="H44:J44" si="4">SUM(H40:H43)</f>
        <v>0</v>
      </c>
      <c r="I44" s="119" t="s">
        <v>206</v>
      </c>
      <c r="J44" s="280">
        <f t="shared" si="4"/>
        <v>1420.2485177304964</v>
      </c>
      <c r="K44" s="119" t="s">
        <v>554</v>
      </c>
      <c r="L44" s="281"/>
      <c r="M44" s="259"/>
    </row>
    <row r="45" spans="1:31" s="5" customFormat="1" ht="43.2" customHeight="1" x14ac:dyDescent="0.4">
      <c r="A45" s="516"/>
      <c r="B45" s="287"/>
      <c r="C45" s="274"/>
      <c r="D45" s="270"/>
      <c r="E45" s="262"/>
      <c r="F45" s="276"/>
      <c r="G45" s="119"/>
      <c r="H45" s="277"/>
      <c r="I45" s="119"/>
      <c r="J45" s="237"/>
      <c r="K45" s="119"/>
      <c r="L45" s="267"/>
      <c r="M45" s="259"/>
    </row>
    <row r="46" spans="1:31" ht="17.399999999999999" x14ac:dyDescent="0.3">
      <c r="B46" s="1081" t="s">
        <v>355</v>
      </c>
      <c r="C46" s="1082"/>
      <c r="D46" s="1082"/>
      <c r="E46" s="262"/>
      <c r="F46" s="276"/>
      <c r="G46" s="119"/>
      <c r="H46" s="277"/>
      <c r="I46" s="119"/>
      <c r="J46" s="237"/>
      <c r="K46" s="119"/>
      <c r="L46" s="267"/>
      <c r="M46" s="259"/>
      <c r="N46" s="5"/>
      <c r="O46" s="5"/>
      <c r="P46" s="5"/>
      <c r="Q46" s="5"/>
      <c r="R46" s="5"/>
      <c r="S46" s="5"/>
      <c r="T46" s="5"/>
      <c r="U46" s="5"/>
      <c r="AB46" s="5"/>
      <c r="AC46" s="5"/>
    </row>
    <row r="47" spans="1:31" s="5" customFormat="1" ht="21" x14ac:dyDescent="0.4">
      <c r="A47" s="516"/>
      <c r="B47" s="287"/>
      <c r="C47" s="941" t="s">
        <v>229</v>
      </c>
      <c r="D47" s="942"/>
      <c r="E47" s="262"/>
      <c r="F47" s="276">
        <f>IF('Gårdens info'!$D$29&gt;0,J47/'Gårdens info'!$D$29,0)</f>
        <v>0</v>
      </c>
      <c r="G47" s="119" t="s">
        <v>57</v>
      </c>
      <c r="H47" s="277">
        <f>IF('Gårdens info'!$G$29&gt;0,F47/'Gårdens info'!$G$29,0)</f>
        <v>0</v>
      </c>
      <c r="I47" s="119" t="s">
        <v>206</v>
      </c>
      <c r="J47" s="237">
        <f>Egendom!AV90</f>
        <v>2596.8141891891892</v>
      </c>
      <c r="K47" s="119" t="s">
        <v>554</v>
      </c>
      <c r="L47" s="267"/>
      <c r="M47" s="259"/>
      <c r="AB47"/>
      <c r="AC47"/>
    </row>
    <row r="48" spans="1:31" s="5" customFormat="1" ht="21" x14ac:dyDescent="0.4">
      <c r="A48" s="516"/>
      <c r="B48" s="287"/>
      <c r="C48" s="941" t="s">
        <v>230</v>
      </c>
      <c r="D48" s="942"/>
      <c r="E48" s="262"/>
      <c r="F48" s="276">
        <f>IF('Gårdens info'!$D$29&gt;0,J48/'Gårdens info'!$D$29,0)</f>
        <v>0</v>
      </c>
      <c r="G48" s="119" t="s">
        <v>57</v>
      </c>
      <c r="H48" s="277">
        <f>IF('Gårdens info'!$G$29&gt;0,F48/'Gårdens info'!$G$29,0)</f>
        <v>0</v>
      </c>
      <c r="I48" s="119" t="s">
        <v>206</v>
      </c>
      <c r="J48" s="237">
        <f>Egendom!BT90</f>
        <v>283.29898648648646</v>
      </c>
      <c r="K48" s="119" t="s">
        <v>554</v>
      </c>
      <c r="L48" s="267"/>
      <c r="M48" s="259"/>
    </row>
    <row r="49" spans="1:21" s="5" customFormat="1" ht="17.399999999999999" customHeight="1" x14ac:dyDescent="0.3">
      <c r="A49" s="516"/>
      <c r="B49" s="287"/>
      <c r="C49" s="1108" t="s">
        <v>232</v>
      </c>
      <c r="D49" s="1108"/>
      <c r="E49" s="262"/>
      <c r="F49" s="276">
        <f>IF('Gårdens info'!$D$29&gt;0,J49/'Gårdens info'!$D$29,0)</f>
        <v>0</v>
      </c>
      <c r="G49" s="119" t="s">
        <v>57</v>
      </c>
      <c r="H49" s="277">
        <f>IF('Gårdens info'!$G$29&gt;0,F49/'Gårdens info'!$G$29,0)</f>
        <v>0</v>
      </c>
      <c r="I49" s="119" t="s">
        <v>206</v>
      </c>
      <c r="J49" s="237">
        <f>Egendom!CR90</f>
        <v>566.59797297297291</v>
      </c>
      <c r="K49" s="119" t="s">
        <v>554</v>
      </c>
      <c r="L49" s="267"/>
      <c r="M49" s="259"/>
      <c r="N49"/>
      <c r="O49"/>
      <c r="P49"/>
      <c r="Q49"/>
      <c r="R49"/>
      <c r="S49"/>
      <c r="T49"/>
      <c r="U49"/>
    </row>
    <row r="50" spans="1:21" s="5" customFormat="1" ht="21" x14ac:dyDescent="0.4">
      <c r="A50" s="516"/>
      <c r="B50" s="287"/>
      <c r="C50" s="941" t="s">
        <v>483</v>
      </c>
      <c r="D50" s="942"/>
      <c r="E50" s="262"/>
      <c r="F50" s="276">
        <f>IF('Gårdens info'!$D$29&gt;0,J50/'Gårdens info'!$D$29,0)</f>
        <v>0</v>
      </c>
      <c r="G50" s="119" t="s">
        <v>57</v>
      </c>
      <c r="H50" s="277">
        <f>IF('Gårdens info'!$G$29&gt;0,F50/'Gårdens info'!$G$29,0)</f>
        <v>0</v>
      </c>
      <c r="I50" s="119" t="s">
        <v>206</v>
      </c>
      <c r="J50" s="237">
        <f>Egendom!DP90</f>
        <v>22.66391891891892</v>
      </c>
      <c r="K50" s="119" t="s">
        <v>554</v>
      </c>
      <c r="L50" s="267"/>
      <c r="M50" s="259"/>
    </row>
    <row r="51" spans="1:21" s="5" customFormat="1" ht="20.399999999999999" x14ac:dyDescent="0.35">
      <c r="A51" s="516"/>
      <c r="B51" s="289"/>
      <c r="C51" s="943" t="s">
        <v>54</v>
      </c>
      <c r="D51" s="944"/>
      <c r="E51" s="262"/>
      <c r="F51" s="280">
        <f>SUM(F47:F50)</f>
        <v>0</v>
      </c>
      <c r="G51" s="119" t="s">
        <v>57</v>
      </c>
      <c r="H51" s="285">
        <f t="shared" ref="H51:J51" si="5">SUM(H47:H50)</f>
        <v>0</v>
      </c>
      <c r="I51" s="119" t="s">
        <v>206</v>
      </c>
      <c r="J51" s="280">
        <f t="shared" si="5"/>
        <v>3469.3750675675678</v>
      </c>
      <c r="K51" s="119" t="s">
        <v>554</v>
      </c>
      <c r="L51" s="281"/>
      <c r="M51" s="259"/>
    </row>
    <row r="52" spans="1:21" s="5" customFormat="1" ht="21" x14ac:dyDescent="0.4">
      <c r="A52" s="516"/>
      <c r="B52" s="287"/>
      <c r="C52" s="274"/>
      <c r="D52" s="270"/>
      <c r="E52" s="262"/>
      <c r="F52" s="276"/>
      <c r="G52" s="119"/>
      <c r="H52" s="277"/>
      <c r="I52" s="119"/>
      <c r="J52" s="237"/>
      <c r="K52" s="119"/>
      <c r="L52" s="267"/>
      <c r="M52" s="259"/>
    </row>
    <row r="53" spans="1:21" s="5" customFormat="1" ht="21" x14ac:dyDescent="0.4">
      <c r="A53" s="516"/>
      <c r="B53" s="1084" t="s">
        <v>139</v>
      </c>
      <c r="C53" s="1085"/>
      <c r="D53" s="270"/>
      <c r="E53" s="262"/>
      <c r="F53" s="276"/>
      <c r="G53" s="119"/>
      <c r="H53" s="277"/>
      <c r="I53" s="119"/>
      <c r="J53" s="237"/>
      <c r="K53" s="119"/>
      <c r="L53" s="267"/>
      <c r="M53" s="259"/>
    </row>
    <row r="54" spans="1:21" s="5" customFormat="1" ht="19.95" customHeight="1" x14ac:dyDescent="0.4">
      <c r="A54" s="516"/>
      <c r="B54" s="287"/>
      <c r="C54" s="941" t="s">
        <v>229</v>
      </c>
      <c r="D54" s="942"/>
      <c r="E54" s="262"/>
      <c r="F54" s="276">
        <f>IF('Gårdens info'!$D$29&gt;0,J54/'Gårdens info'!$D$29,0)</f>
        <v>0</v>
      </c>
      <c r="G54" s="119" t="s">
        <v>57</v>
      </c>
      <c r="H54" s="277">
        <f>IF('Gårdens info'!$G$29&gt;0,F54/'Gårdens info'!$G$29,0)</f>
        <v>0</v>
      </c>
      <c r="I54" s="119" t="s">
        <v>206</v>
      </c>
      <c r="J54" s="237">
        <f>Egendom!AV93</f>
        <v>0</v>
      </c>
      <c r="K54" s="119" t="s">
        <v>554</v>
      </c>
      <c r="L54" s="267"/>
      <c r="M54" s="259"/>
    </row>
    <row r="55" spans="1:21" s="5" customFormat="1" ht="21" x14ac:dyDescent="0.4">
      <c r="A55" s="516"/>
      <c r="B55" s="287"/>
      <c r="C55" s="941" t="s">
        <v>230</v>
      </c>
      <c r="D55" s="942"/>
      <c r="E55" s="262"/>
      <c r="F55" s="276">
        <f>IF('Gårdens info'!$D$29&gt;0,J55/'Gårdens info'!$D$29,0)</f>
        <v>0</v>
      </c>
      <c r="G55" s="119" t="s">
        <v>57</v>
      </c>
      <c r="H55" s="277">
        <f>IF('Gårdens info'!$G$29&gt;0,F55/'Gårdens info'!$G$29,0)</f>
        <v>0</v>
      </c>
      <c r="I55" s="119" t="s">
        <v>206</v>
      </c>
      <c r="J55" s="237">
        <f>Egendom!BT93</f>
        <v>0</v>
      </c>
      <c r="K55" s="119" t="s">
        <v>554</v>
      </c>
      <c r="L55" s="267"/>
      <c r="M55" s="259"/>
    </row>
    <row r="56" spans="1:21" s="5" customFormat="1" ht="17.399999999999999" customHeight="1" x14ac:dyDescent="0.3">
      <c r="A56" s="516"/>
      <c r="B56" s="287"/>
      <c r="C56" s="1108" t="s">
        <v>232</v>
      </c>
      <c r="D56" s="1108"/>
      <c r="E56" s="262"/>
      <c r="F56" s="276">
        <f>IF('Gårdens info'!$D$29&gt;0,J56/'Gårdens info'!$D$29,0)</f>
        <v>0</v>
      </c>
      <c r="G56" s="119" t="s">
        <v>57</v>
      </c>
      <c r="H56" s="277">
        <f>IF('Gårdens info'!$G$29&gt;0,F56/'Gårdens info'!$G$29,0)</f>
        <v>0</v>
      </c>
      <c r="I56" s="119" t="s">
        <v>206</v>
      </c>
      <c r="J56" s="237">
        <f>Egendom!CR93</f>
        <v>38.297872340425528</v>
      </c>
      <c r="K56" s="119" t="s">
        <v>554</v>
      </c>
      <c r="L56" s="267"/>
      <c r="M56" s="259"/>
    </row>
    <row r="57" spans="1:21" s="5" customFormat="1" ht="18" x14ac:dyDescent="0.35">
      <c r="A57" s="516"/>
      <c r="B57" s="286"/>
      <c r="C57" s="943" t="s">
        <v>54</v>
      </c>
      <c r="D57" s="261"/>
      <c r="E57" s="261"/>
      <c r="F57" s="280">
        <f>SUM(F54:F56)</f>
        <v>0</v>
      </c>
      <c r="G57" s="119" t="s">
        <v>57</v>
      </c>
      <c r="H57" s="285">
        <f t="shared" ref="H57:J57" si="6">SUM(H54:H56)</f>
        <v>0</v>
      </c>
      <c r="I57" s="119" t="s">
        <v>206</v>
      </c>
      <c r="J57" s="280">
        <f t="shared" si="6"/>
        <v>38.297872340425528</v>
      </c>
      <c r="K57" s="119" t="s">
        <v>554</v>
      </c>
      <c r="L57" s="284"/>
      <c r="M57" s="290"/>
    </row>
    <row r="58" spans="1:21" s="5" customFormat="1" ht="21" x14ac:dyDescent="0.4">
      <c r="A58" s="516"/>
      <c r="B58" s="1061" t="s">
        <v>191</v>
      </c>
      <c r="C58" s="1043"/>
      <c r="D58" s="1043"/>
      <c r="E58" s="262"/>
      <c r="F58" s="266">
        <f>F37+F44+F51+F57</f>
        <v>0</v>
      </c>
      <c r="G58" s="267" t="s">
        <v>57</v>
      </c>
      <c r="H58" s="268">
        <f>H37+H44+H51+H57</f>
        <v>0</v>
      </c>
      <c r="I58" s="267" t="s">
        <v>206</v>
      </c>
      <c r="J58" s="269">
        <f>J37+J44+J51+J57</f>
        <v>6763.7006410772474</v>
      </c>
      <c r="K58" s="267" t="s">
        <v>554</v>
      </c>
      <c r="L58" s="267"/>
      <c r="M58" s="259"/>
    </row>
    <row r="59" spans="1:21" s="5" customFormat="1" ht="15.6" x14ac:dyDescent="0.3">
      <c r="A59" s="516"/>
      <c r="B59" s="286"/>
      <c r="C59" s="262"/>
      <c r="D59" s="262"/>
      <c r="E59" s="262"/>
      <c r="F59" s="263"/>
      <c r="G59" s="243"/>
      <c r="H59" s="264"/>
      <c r="I59" s="243"/>
      <c r="J59" s="258"/>
      <c r="K59" s="243"/>
      <c r="L59" s="265"/>
      <c r="M59" s="259"/>
    </row>
    <row r="60" spans="1:21" s="5" customFormat="1" ht="21" x14ac:dyDescent="0.4">
      <c r="A60" s="516"/>
      <c r="B60" s="257" t="s">
        <v>192</v>
      </c>
      <c r="C60" s="262"/>
      <c r="D60" s="262"/>
      <c r="E60" s="262"/>
      <c r="F60" s="263"/>
      <c r="G60" s="243"/>
      <c r="H60" s="264"/>
      <c r="I60" s="243"/>
      <c r="J60" s="258"/>
      <c r="K60" s="243"/>
      <c r="L60" s="265"/>
      <c r="M60" s="259"/>
    </row>
    <row r="61" spans="1:21" s="5" customFormat="1" ht="19.95" customHeight="1" x14ac:dyDescent="0.3">
      <c r="A61" s="516"/>
      <c r="B61" s="291" t="s">
        <v>240</v>
      </c>
      <c r="C61" s="245"/>
      <c r="D61" s="249"/>
      <c r="E61" s="249"/>
      <c r="F61" s="250"/>
      <c r="G61" s="120"/>
      <c r="H61" s="249"/>
      <c r="I61" s="249"/>
      <c r="J61" s="249"/>
      <c r="K61" s="249"/>
      <c r="L61" s="249"/>
      <c r="M61" s="234"/>
    </row>
    <row r="62" spans="1:21" s="5" customFormat="1" ht="15" x14ac:dyDescent="0.25">
      <c r="A62" s="516"/>
      <c r="B62" s="235"/>
      <c r="C62" s="228" t="s">
        <v>192</v>
      </c>
      <c r="D62" s="236"/>
      <c r="E62" s="236"/>
      <c r="F62" s="237">
        <f>IF('Gårdens info'!D29&gt;0,H190,0)</f>
        <v>0</v>
      </c>
      <c r="G62" s="119" t="s">
        <v>57</v>
      </c>
      <c r="H62" s="238">
        <f>IF('Gårdens info'!G29&gt;0,F62/'Gårdens info'!$G$29,0)</f>
        <v>0</v>
      </c>
      <c r="I62" s="119" t="s">
        <v>206</v>
      </c>
      <c r="J62" s="237">
        <f>F62*'Gårdens info'!D29</f>
        <v>0</v>
      </c>
      <c r="K62" s="119" t="s">
        <v>554</v>
      </c>
      <c r="L62" s="236"/>
      <c r="M62" s="239"/>
    </row>
    <row r="63" spans="1:21" s="5" customFormat="1" ht="17.399999999999999" x14ac:dyDescent="0.3">
      <c r="A63" s="516"/>
      <c r="B63" s="248"/>
      <c r="C63" s="245"/>
      <c r="D63" s="249"/>
      <c r="E63" s="249"/>
      <c r="F63" s="250"/>
      <c r="G63" s="120"/>
      <c r="H63" s="249"/>
      <c r="I63" s="249"/>
      <c r="J63" s="249"/>
      <c r="K63" s="249"/>
      <c r="L63" s="249"/>
      <c r="M63" s="234"/>
    </row>
    <row r="64" spans="1:21" s="5" customFormat="1" ht="21" x14ac:dyDescent="0.4">
      <c r="A64" s="516"/>
      <c r="B64" s="345" t="s">
        <v>194</v>
      </c>
      <c r="C64" s="346"/>
      <c r="D64" s="346"/>
      <c r="E64" s="262"/>
      <c r="F64" s="266">
        <f>F62</f>
        <v>0</v>
      </c>
      <c r="G64" s="267" t="s">
        <v>57</v>
      </c>
      <c r="H64" s="268">
        <f>H62</f>
        <v>0</v>
      </c>
      <c r="I64" s="267" t="s">
        <v>206</v>
      </c>
      <c r="J64" s="269">
        <f>J62</f>
        <v>0</v>
      </c>
      <c r="K64" s="267" t="s">
        <v>554</v>
      </c>
      <c r="L64" s="267"/>
      <c r="M64" s="259"/>
    </row>
    <row r="65" spans="1:13" s="5" customFormat="1" ht="21" x14ac:dyDescent="0.4">
      <c r="A65" s="516"/>
      <c r="B65" s="288"/>
      <c r="C65" s="270"/>
      <c r="D65" s="270"/>
      <c r="E65" s="262"/>
      <c r="F65" s="266"/>
      <c r="G65" s="267"/>
      <c r="H65" s="268"/>
      <c r="I65" s="267"/>
      <c r="J65" s="269"/>
      <c r="K65" s="267"/>
      <c r="L65" s="267"/>
      <c r="M65" s="259"/>
    </row>
    <row r="66" spans="1:13" s="5" customFormat="1" ht="21" x14ac:dyDescent="0.4">
      <c r="A66" s="516"/>
      <c r="B66" s="1061" t="s">
        <v>195</v>
      </c>
      <c r="C66" s="1043"/>
      <c r="D66" s="1043"/>
      <c r="E66" s="262"/>
      <c r="F66" s="266">
        <f>F29+F58+F64</f>
        <v>0</v>
      </c>
      <c r="G66" s="267" t="s">
        <v>57</v>
      </c>
      <c r="H66" s="572">
        <f>H29+H58+H64</f>
        <v>0</v>
      </c>
      <c r="I66" s="267" t="s">
        <v>206</v>
      </c>
      <c r="J66" s="266">
        <f>J29+J58+J64</f>
        <v>6763.7006410772474</v>
      </c>
      <c r="K66" s="267" t="s">
        <v>554</v>
      </c>
      <c r="L66" s="267"/>
      <c r="M66" s="259"/>
    </row>
    <row r="67" spans="1:13" s="5" customFormat="1" ht="21" x14ac:dyDescent="0.4">
      <c r="A67" s="516"/>
      <c r="B67" s="288"/>
      <c r="C67" s="270"/>
      <c r="D67" s="270"/>
      <c r="E67" s="262"/>
      <c r="F67" s="266"/>
      <c r="G67" s="267"/>
      <c r="H67" s="268"/>
      <c r="I67" s="267"/>
      <c r="J67" s="269"/>
      <c r="K67" s="267"/>
      <c r="L67" s="267"/>
      <c r="M67" s="259"/>
    </row>
    <row r="68" spans="1:13" s="5" customFormat="1" ht="25.95" customHeight="1" thickBot="1" x14ac:dyDescent="0.45">
      <c r="A68" s="516"/>
      <c r="B68" s="1059" t="s">
        <v>198</v>
      </c>
      <c r="C68" s="1060"/>
      <c r="D68" s="1060"/>
      <c r="E68" s="253"/>
      <c r="F68" s="292">
        <f>F11-F29-F58-F64</f>
        <v>0</v>
      </c>
      <c r="G68" s="293" t="s">
        <v>57</v>
      </c>
      <c r="H68" s="294">
        <f>H11-H29-H58-H64</f>
        <v>7.52</v>
      </c>
      <c r="I68" s="293" t="s">
        <v>206</v>
      </c>
      <c r="J68" s="292">
        <f>J11-J29-J58-J64</f>
        <v>-6763.7006410772474</v>
      </c>
      <c r="K68" s="293" t="s">
        <v>554</v>
      </c>
      <c r="L68" s="293"/>
      <c r="M68" s="254"/>
    </row>
    <row r="69" spans="1:13" s="5" customFormat="1" ht="21.6" thickBot="1" x14ac:dyDescent="0.45">
      <c r="A69" s="516"/>
      <c r="B69" s="444"/>
      <c r="C69" s="116"/>
      <c r="D69" s="116"/>
      <c r="E69" s="116"/>
      <c r="F69" s="116"/>
      <c r="G69" s="116"/>
      <c r="H69" s="116"/>
      <c r="I69" s="116"/>
      <c r="J69" s="116"/>
      <c r="K69" s="116"/>
      <c r="L69" s="116"/>
      <c r="M69" s="116"/>
    </row>
    <row r="70" spans="1:13" s="5" customFormat="1" ht="21.6" customHeight="1" thickBot="1" x14ac:dyDescent="0.45">
      <c r="A70" s="516"/>
      <c r="B70" s="1078" t="s">
        <v>609</v>
      </c>
      <c r="C70" s="1079"/>
      <c r="D70" s="1079"/>
      <c r="E70" s="1080"/>
      <c r="F70" s="116"/>
      <c r="G70" s="116"/>
      <c r="H70" s="116"/>
      <c r="I70" s="116"/>
      <c r="J70" s="116"/>
      <c r="K70" s="116"/>
      <c r="L70" s="1140" t="s">
        <v>645</v>
      </c>
      <c r="M70" s="1140"/>
    </row>
    <row r="71" spans="1:13" s="5" customFormat="1" x14ac:dyDescent="0.25">
      <c r="A71" s="516"/>
      <c r="B71" s="116"/>
      <c r="C71" s="116"/>
      <c r="D71" s="116"/>
      <c r="E71" s="116"/>
      <c r="F71" s="116"/>
      <c r="G71" s="116"/>
      <c r="H71" s="116"/>
      <c r="I71" s="116"/>
      <c r="J71" s="116"/>
      <c r="K71" s="116"/>
      <c r="L71" s="116"/>
      <c r="M71" s="116"/>
    </row>
    <row r="72" spans="1:13" s="5" customFormat="1" ht="15.6" x14ac:dyDescent="0.3">
      <c r="A72" s="516"/>
      <c r="B72" s="89" t="s">
        <v>646</v>
      </c>
      <c r="C72" s="44"/>
      <c r="D72" s="44"/>
      <c r="E72" s="44"/>
      <c r="F72" s="1077" t="s">
        <v>114</v>
      </c>
      <c r="G72" s="1077"/>
      <c r="H72" s="1077" t="s">
        <v>113</v>
      </c>
      <c r="I72" s="1077"/>
      <c r="J72" s="1077" t="s">
        <v>243</v>
      </c>
      <c r="K72" s="1077"/>
      <c r="L72" s="111"/>
      <c r="M72" s="46"/>
    </row>
    <row r="73" spans="1:13" s="5" customFormat="1" ht="13.8" thickBot="1" x14ac:dyDescent="0.3">
      <c r="A73" s="516"/>
      <c r="B73" s="48"/>
      <c r="C73" s="44"/>
      <c r="D73" s="44"/>
      <c r="E73" s="44"/>
      <c r="F73" s="44"/>
      <c r="G73" s="44"/>
      <c r="H73" s="44"/>
      <c r="I73" s="44"/>
      <c r="J73" s="46"/>
      <c r="K73" s="46"/>
      <c r="L73" s="46"/>
      <c r="M73" s="46"/>
    </row>
    <row r="74" spans="1:13" s="5" customFormat="1" ht="13.8" thickBot="1" x14ac:dyDescent="0.3">
      <c r="A74" s="516"/>
      <c r="B74" s="44"/>
      <c r="C74" s="45" t="s">
        <v>594</v>
      </c>
      <c r="D74" s="46"/>
      <c r="E74" s="44"/>
      <c r="F74" s="94">
        <v>30000</v>
      </c>
      <c r="G74" s="44" t="s">
        <v>647</v>
      </c>
      <c r="H74" s="73">
        <v>0.25</v>
      </c>
      <c r="I74" s="49" t="s">
        <v>74</v>
      </c>
      <c r="J74" s="191">
        <f>F74*H74</f>
        <v>7500</v>
      </c>
      <c r="K74" s="44" t="s">
        <v>57</v>
      </c>
      <c r="L74" s="44"/>
      <c r="M74" s="46"/>
    </row>
    <row r="75" spans="1:13" s="5" customFormat="1" ht="13.8" thickBot="1" x14ac:dyDescent="0.3">
      <c r="A75" s="516"/>
      <c r="B75" s="44"/>
      <c r="C75" s="44" t="s">
        <v>596</v>
      </c>
      <c r="D75" s="45"/>
      <c r="E75" s="44"/>
      <c r="F75" s="94"/>
      <c r="G75" s="44" t="s">
        <v>647</v>
      </c>
      <c r="H75" s="73"/>
      <c r="I75" s="49" t="s">
        <v>74</v>
      </c>
      <c r="J75" s="191">
        <f t="shared" ref="J75:J76" si="7">F75*H75</f>
        <v>0</v>
      </c>
      <c r="K75" s="44" t="s">
        <v>57</v>
      </c>
      <c r="L75" s="46"/>
      <c r="M75" s="46"/>
    </row>
    <row r="76" spans="1:13" s="5" customFormat="1" ht="13.8" thickBot="1" x14ac:dyDescent="0.3">
      <c r="A76" s="516"/>
      <c r="B76" s="44"/>
      <c r="C76" s="44" t="s">
        <v>596</v>
      </c>
      <c r="D76" s="45"/>
      <c r="E76" s="44"/>
      <c r="F76" s="94"/>
      <c r="G76" s="44" t="s">
        <v>647</v>
      </c>
      <c r="H76" s="73"/>
      <c r="I76" s="49" t="s">
        <v>74</v>
      </c>
      <c r="J76" s="191">
        <f t="shared" si="7"/>
        <v>0</v>
      </c>
      <c r="K76" s="44" t="s">
        <v>57</v>
      </c>
      <c r="L76" s="46"/>
      <c r="M76" s="46"/>
    </row>
    <row r="77" spans="1:13" s="5" customFormat="1" ht="13.95" customHeight="1" x14ac:dyDescent="0.25">
      <c r="A77" s="516"/>
      <c r="B77" s="50"/>
      <c r="C77" s="50" t="s">
        <v>54</v>
      </c>
      <c r="D77" s="50"/>
      <c r="E77" s="50"/>
      <c r="F77" s="50"/>
      <c r="G77" s="50"/>
      <c r="H77" s="219"/>
      <c r="I77" s="219"/>
      <c r="J77" s="220">
        <f>SUM(J74:J76)</f>
        <v>7500</v>
      </c>
      <c r="K77" s="50" t="s">
        <v>57</v>
      </c>
      <c r="L77" s="50"/>
      <c r="M77" s="50"/>
    </row>
    <row r="78" spans="1:13" s="5" customFormat="1" x14ac:dyDescent="0.25">
      <c r="A78" s="516"/>
      <c r="B78" s="44"/>
      <c r="C78" s="44"/>
      <c r="D78" s="50"/>
      <c r="E78" s="44"/>
      <c r="F78" s="44"/>
      <c r="G78" s="44"/>
      <c r="H78" s="49"/>
      <c r="I78" s="49"/>
      <c r="J78" s="191"/>
      <c r="K78" s="44"/>
      <c r="L78" s="46"/>
      <c r="M78" s="46"/>
    </row>
    <row r="79" spans="1:13" s="5" customFormat="1" x14ac:dyDescent="0.25">
      <c r="A79" s="516"/>
      <c r="B79" s="116"/>
      <c r="C79" s="116"/>
      <c r="D79" s="116"/>
      <c r="E79" s="116"/>
      <c r="F79" s="116"/>
      <c r="G79" s="116"/>
      <c r="H79" s="116"/>
      <c r="I79" s="116"/>
      <c r="J79" s="116"/>
      <c r="K79" s="116"/>
      <c r="L79" s="116"/>
      <c r="M79" s="116"/>
    </row>
    <row r="80" spans="1:13" s="5" customFormat="1" ht="15.6" x14ac:dyDescent="0.3">
      <c r="A80" s="516"/>
      <c r="B80" s="96" t="s">
        <v>648</v>
      </c>
      <c r="C80" s="97"/>
      <c r="D80" s="97"/>
      <c r="E80" s="97"/>
      <c r="F80" s="1074" t="s">
        <v>114</v>
      </c>
      <c r="G80" s="1074"/>
      <c r="H80" s="1074" t="s">
        <v>113</v>
      </c>
      <c r="I80" s="1074"/>
      <c r="J80" s="1074" t="s">
        <v>243</v>
      </c>
      <c r="K80" s="1074"/>
      <c r="L80" s="99"/>
      <c r="M80" s="99"/>
    </row>
    <row r="81" spans="1:29" s="5" customFormat="1" ht="15.6" x14ac:dyDescent="0.3">
      <c r="A81" s="516"/>
      <c r="B81" s="96"/>
      <c r="C81" s="97"/>
      <c r="D81" s="97"/>
      <c r="E81" s="97"/>
      <c r="F81" s="392"/>
      <c r="G81" s="392"/>
      <c r="H81" s="392"/>
      <c r="I81" s="392"/>
      <c r="J81" s="392"/>
      <c r="K81" s="392"/>
      <c r="L81" s="99"/>
      <c r="M81" s="99"/>
    </row>
    <row r="82" spans="1:29" s="5" customFormat="1" ht="13.8" thickBot="1" x14ac:dyDescent="0.3">
      <c r="A82" s="516"/>
      <c r="B82" s="525" t="s">
        <v>417</v>
      </c>
      <c r="C82" s="97"/>
      <c r="D82" s="97"/>
      <c r="E82" s="97"/>
      <c r="F82" s="97"/>
      <c r="G82" s="97"/>
      <c r="H82" s="98"/>
      <c r="I82" s="98"/>
      <c r="J82" s="99"/>
      <c r="K82" s="99"/>
      <c r="L82" s="99"/>
      <c r="M82" s="99"/>
    </row>
    <row r="83" spans="1:29" s="194" customFormat="1" ht="16.2" thickBot="1" x14ac:dyDescent="0.35">
      <c r="A83" s="330"/>
      <c r="B83" s="97"/>
      <c r="C83" s="97" t="s">
        <v>611</v>
      </c>
      <c r="D83" s="99"/>
      <c r="E83" s="97"/>
      <c r="F83" s="94">
        <v>100</v>
      </c>
      <c r="G83" s="97" t="s">
        <v>212</v>
      </c>
      <c r="H83" s="77">
        <v>1.7</v>
      </c>
      <c r="I83" s="98" t="s">
        <v>206</v>
      </c>
      <c r="J83" s="100">
        <f>F83*H83</f>
        <v>170</v>
      </c>
      <c r="K83" s="97" t="s">
        <v>57</v>
      </c>
      <c r="L83" s="99"/>
      <c r="M83" s="99"/>
      <c r="N83" s="5"/>
      <c r="O83" s="5"/>
      <c r="P83" s="5"/>
      <c r="Q83" s="5"/>
      <c r="R83" s="5"/>
      <c r="S83" s="5"/>
      <c r="T83" s="5"/>
      <c r="U83" s="5"/>
      <c r="AB83" s="5"/>
      <c r="AC83" s="5"/>
    </row>
    <row r="84" spans="1:29" s="5" customFormat="1" ht="16.2" thickBot="1" x14ac:dyDescent="0.35">
      <c r="A84" s="516"/>
      <c r="B84" s="97"/>
      <c r="C84" s="97" t="s">
        <v>612</v>
      </c>
      <c r="D84" s="99"/>
      <c r="E84" s="97"/>
      <c r="F84" s="94">
        <v>130</v>
      </c>
      <c r="G84" s="97" t="s">
        <v>212</v>
      </c>
      <c r="H84" s="77">
        <v>2.1</v>
      </c>
      <c r="I84" s="98" t="s">
        <v>206</v>
      </c>
      <c r="J84" s="100">
        <f t="shared" ref="J84:J93" si="8">F84*H84</f>
        <v>273</v>
      </c>
      <c r="K84" s="97" t="s">
        <v>57</v>
      </c>
      <c r="L84" s="99"/>
      <c r="M84" s="99"/>
      <c r="AB84" s="194"/>
      <c r="AC84" s="194"/>
    </row>
    <row r="85" spans="1:29" s="5" customFormat="1" ht="13.8" thickBot="1" x14ac:dyDescent="0.3">
      <c r="A85" s="516"/>
      <c r="B85" s="97"/>
      <c r="C85" s="97" t="s">
        <v>251</v>
      </c>
      <c r="D85" s="99"/>
      <c r="E85" s="97"/>
      <c r="F85" s="74"/>
      <c r="G85" s="97" t="s">
        <v>212</v>
      </c>
      <c r="H85" s="77"/>
      <c r="I85" s="98" t="s">
        <v>206</v>
      </c>
      <c r="J85" s="100">
        <f t="shared" si="8"/>
        <v>0</v>
      </c>
      <c r="K85" s="97" t="s">
        <v>57</v>
      </c>
      <c r="L85" s="99"/>
      <c r="M85" s="99"/>
    </row>
    <row r="86" spans="1:29" s="5" customFormat="1" ht="16.2" thickBot="1" x14ac:dyDescent="0.35">
      <c r="A86" s="516"/>
      <c r="B86" s="97"/>
      <c r="C86" s="97" t="s">
        <v>251</v>
      </c>
      <c r="D86" s="99"/>
      <c r="E86" s="97"/>
      <c r="F86" s="74"/>
      <c r="G86" s="97" t="s">
        <v>212</v>
      </c>
      <c r="H86" s="77"/>
      <c r="I86" s="98" t="s">
        <v>206</v>
      </c>
      <c r="J86" s="100">
        <f t="shared" si="8"/>
        <v>0</v>
      </c>
      <c r="K86" s="97" t="s">
        <v>57</v>
      </c>
      <c r="L86" s="99"/>
      <c r="M86" s="99"/>
      <c r="N86" s="194"/>
      <c r="O86" s="194"/>
      <c r="P86" s="194"/>
      <c r="Q86" s="194"/>
      <c r="R86" s="194"/>
      <c r="S86" s="194"/>
      <c r="T86" s="194"/>
      <c r="U86" s="194"/>
    </row>
    <row r="87" spans="1:29" s="5" customFormat="1" ht="16.2" thickBot="1" x14ac:dyDescent="0.35">
      <c r="A87" s="516"/>
      <c r="B87" s="97"/>
      <c r="C87" s="97" t="s">
        <v>251</v>
      </c>
      <c r="D87" s="99"/>
      <c r="E87" s="97"/>
      <c r="F87" s="74"/>
      <c r="G87" s="97" t="s">
        <v>212</v>
      </c>
      <c r="H87" s="77"/>
      <c r="I87" s="98" t="s">
        <v>206</v>
      </c>
      <c r="J87" s="100">
        <f t="shared" ref="J87:J88" si="9">F87*H87</f>
        <v>0</v>
      </c>
      <c r="K87" s="97" t="s">
        <v>57</v>
      </c>
      <c r="L87" s="99"/>
      <c r="M87" s="99"/>
      <c r="N87" s="194"/>
      <c r="O87" s="194"/>
      <c r="P87" s="194"/>
      <c r="Q87" s="194"/>
      <c r="R87" s="194"/>
      <c r="S87" s="194"/>
      <c r="T87" s="194"/>
      <c r="U87" s="194"/>
    </row>
    <row r="88" spans="1:29" s="5" customFormat="1" ht="16.2" thickBot="1" x14ac:dyDescent="0.35">
      <c r="A88" s="516"/>
      <c r="B88" s="97"/>
      <c r="C88" s="97" t="s">
        <v>251</v>
      </c>
      <c r="D88" s="99"/>
      <c r="E88" s="97"/>
      <c r="F88" s="74"/>
      <c r="G88" s="97" t="s">
        <v>212</v>
      </c>
      <c r="H88" s="77"/>
      <c r="I88" s="98" t="s">
        <v>206</v>
      </c>
      <c r="J88" s="100">
        <f t="shared" si="9"/>
        <v>0</v>
      </c>
      <c r="K88" s="97" t="s">
        <v>57</v>
      </c>
      <c r="L88" s="99"/>
      <c r="M88" s="99"/>
      <c r="N88" s="194"/>
      <c r="O88" s="194"/>
      <c r="P88" s="194"/>
      <c r="Q88" s="194"/>
      <c r="R88" s="194"/>
      <c r="S88" s="194"/>
      <c r="T88" s="194"/>
      <c r="U88" s="194"/>
    </row>
    <row r="89" spans="1:29" s="5" customFormat="1" ht="15.6" x14ac:dyDescent="0.3">
      <c r="A89" s="516"/>
      <c r="B89" s="97"/>
      <c r="C89" s="97"/>
      <c r="D89" s="99"/>
      <c r="E89" s="97"/>
      <c r="F89" s="97"/>
      <c r="G89" s="97"/>
      <c r="H89" s="98"/>
      <c r="I89" s="98"/>
      <c r="J89" s="100"/>
      <c r="K89" s="97"/>
      <c r="L89" s="99"/>
      <c r="M89" s="99"/>
      <c r="N89" s="194"/>
      <c r="O89" s="194"/>
      <c r="P89" s="194"/>
      <c r="Q89" s="194"/>
      <c r="R89" s="194"/>
      <c r="S89" s="194"/>
      <c r="T89" s="194"/>
      <c r="U89" s="194"/>
    </row>
    <row r="90" spans="1:29" s="5" customFormat="1" ht="16.2" thickBot="1" x14ac:dyDescent="0.35">
      <c r="A90" s="516"/>
      <c r="B90" s="525" t="s">
        <v>412</v>
      </c>
      <c r="C90" s="97"/>
      <c r="D90" s="99"/>
      <c r="E90" s="97"/>
      <c r="F90" s="97"/>
      <c r="G90" s="97"/>
      <c r="H90" s="98"/>
      <c r="I90" s="98"/>
      <c r="J90" s="100"/>
      <c r="K90" s="97"/>
      <c r="L90" s="99"/>
      <c r="M90" s="99"/>
      <c r="N90" s="194"/>
      <c r="O90" s="194"/>
      <c r="P90" s="194"/>
      <c r="Q90" s="194"/>
      <c r="R90" s="194"/>
      <c r="S90" s="194"/>
      <c r="T90" s="194"/>
      <c r="U90" s="194"/>
    </row>
    <row r="91" spans="1:29" s="5" customFormat="1" ht="13.2" customHeight="1" thickBot="1" x14ac:dyDescent="0.3">
      <c r="A91" s="516"/>
      <c r="B91" s="97"/>
      <c r="C91" s="97" t="s">
        <v>649</v>
      </c>
      <c r="D91" s="97"/>
      <c r="E91" s="97"/>
      <c r="F91" s="74">
        <v>500</v>
      </c>
      <c r="G91" s="97" t="s">
        <v>31</v>
      </c>
      <c r="H91" s="74">
        <v>4.2</v>
      </c>
      <c r="I91" s="98" t="s">
        <v>246</v>
      </c>
      <c r="J91" s="100">
        <f t="shared" si="8"/>
        <v>2100</v>
      </c>
      <c r="K91" s="97" t="s">
        <v>57</v>
      </c>
      <c r="L91" s="99"/>
      <c r="M91" s="99"/>
    </row>
    <row r="92" spans="1:29" s="56" customFormat="1" ht="16.2" customHeight="1" thickBot="1" x14ac:dyDescent="0.35">
      <c r="A92" s="517"/>
      <c r="B92" s="97"/>
      <c r="C92" s="97" t="s">
        <v>650</v>
      </c>
      <c r="D92" s="97"/>
      <c r="E92" s="97"/>
      <c r="F92" s="74"/>
      <c r="G92" s="97" t="s">
        <v>212</v>
      </c>
      <c r="H92" s="77"/>
      <c r="I92" s="98" t="s">
        <v>206</v>
      </c>
      <c r="J92" s="100">
        <f t="shared" ref="J92" si="10">F92*H92</f>
        <v>0</v>
      </c>
      <c r="K92" s="97" t="s">
        <v>57</v>
      </c>
      <c r="L92" s="99"/>
      <c r="M92" s="99"/>
      <c r="N92" s="5"/>
      <c r="O92" s="5"/>
      <c r="P92" s="5"/>
      <c r="Q92" s="5"/>
      <c r="R92" s="5"/>
      <c r="S92" s="5"/>
      <c r="T92" s="5"/>
      <c r="U92" s="5"/>
      <c r="AB92" s="5"/>
      <c r="AC92" s="5"/>
    </row>
    <row r="93" spans="1:29" s="69" customFormat="1" ht="18" thickBot="1" x14ac:dyDescent="0.35">
      <c r="A93" s="518"/>
      <c r="B93" s="97"/>
      <c r="C93" s="97" t="s">
        <v>650</v>
      </c>
      <c r="D93" s="97"/>
      <c r="E93" s="97"/>
      <c r="F93" s="74"/>
      <c r="G93" s="97" t="s">
        <v>212</v>
      </c>
      <c r="H93" s="77"/>
      <c r="I93" s="98" t="s">
        <v>206</v>
      </c>
      <c r="J93" s="100">
        <f t="shared" si="8"/>
        <v>0</v>
      </c>
      <c r="K93" s="97" t="s">
        <v>57</v>
      </c>
      <c r="L93" s="99"/>
      <c r="M93" s="99"/>
      <c r="AB93" s="56"/>
      <c r="AC93" s="56"/>
    </row>
    <row r="94" spans="1:29" s="56" customFormat="1" ht="17.399999999999999" x14ac:dyDescent="0.3">
      <c r="A94" s="517"/>
      <c r="B94" s="214"/>
      <c r="C94" s="214" t="s">
        <v>54</v>
      </c>
      <c r="D94" s="214"/>
      <c r="E94" s="214"/>
      <c r="F94" s="214"/>
      <c r="G94" s="214"/>
      <c r="H94" s="214"/>
      <c r="I94" s="215"/>
      <c r="J94" s="216">
        <f>SUM(J83:J93)</f>
        <v>2543</v>
      </c>
      <c r="K94" s="214" t="s">
        <v>57</v>
      </c>
      <c r="L94" s="214"/>
      <c r="M94" s="214"/>
      <c r="N94" s="5"/>
      <c r="O94" s="5"/>
      <c r="P94" s="5"/>
      <c r="Q94" s="5"/>
      <c r="R94" s="5"/>
      <c r="S94" s="5"/>
      <c r="T94" s="5"/>
      <c r="U94" s="5"/>
      <c r="AB94" s="69"/>
      <c r="AC94" s="69"/>
    </row>
    <row r="95" spans="1:29" s="5" customFormat="1" ht="25.2" customHeight="1" x14ac:dyDescent="0.3">
      <c r="A95" s="516"/>
      <c r="B95" s="97"/>
      <c r="C95" s="97"/>
      <c r="D95" s="97"/>
      <c r="E95" s="97"/>
      <c r="F95" s="97"/>
      <c r="G95" s="97"/>
      <c r="H95" s="97"/>
      <c r="I95" s="98"/>
      <c r="J95" s="100"/>
      <c r="K95" s="97"/>
      <c r="L95" s="99"/>
      <c r="M95" s="99"/>
      <c r="N95" s="56"/>
      <c r="O95" s="56"/>
      <c r="P95" s="56"/>
      <c r="Q95" s="56"/>
      <c r="R95" s="56"/>
      <c r="S95" s="56"/>
      <c r="T95" s="56"/>
      <c r="U95" s="56"/>
      <c r="AB95" s="56"/>
      <c r="AC95" s="56"/>
    </row>
    <row r="96" spans="1:29" s="5" customFormat="1" x14ac:dyDescent="0.25">
      <c r="A96" s="516"/>
      <c r="B96" s="116"/>
      <c r="C96" s="116"/>
      <c r="D96" s="116"/>
      <c r="E96" s="116"/>
      <c r="F96" s="116"/>
      <c r="G96" s="116"/>
      <c r="H96" s="116"/>
      <c r="I96" s="116"/>
      <c r="J96" s="116"/>
      <c r="K96" s="116"/>
      <c r="L96" s="116"/>
      <c r="M96" s="116"/>
      <c r="N96"/>
      <c r="O96"/>
      <c r="P96"/>
      <c r="Q96"/>
      <c r="R96"/>
      <c r="S96"/>
      <c r="T96"/>
      <c r="U96"/>
    </row>
    <row r="97" spans="1:29" s="5" customFormat="1" ht="15.6" x14ac:dyDescent="0.3">
      <c r="A97" s="516"/>
      <c r="B97" s="85" t="s">
        <v>613</v>
      </c>
      <c r="C97" s="51"/>
      <c r="D97" s="51"/>
      <c r="E97" s="51"/>
      <c r="F97" s="1075" t="s">
        <v>114</v>
      </c>
      <c r="G97" s="1075"/>
      <c r="H97" s="1076" t="s">
        <v>113</v>
      </c>
      <c r="I97" s="1076"/>
      <c r="J97" s="1075" t="s">
        <v>243</v>
      </c>
      <c r="K97" s="1075"/>
      <c r="L97" s="58"/>
      <c r="M97" s="58"/>
      <c r="N97" s="69"/>
      <c r="O97" s="69"/>
      <c r="P97" s="69"/>
      <c r="Q97" s="69"/>
      <c r="R97" s="69"/>
      <c r="S97" s="69"/>
      <c r="T97" s="69"/>
      <c r="U97" s="69"/>
    </row>
    <row r="98" spans="1:29" ht="57" customHeight="1" x14ac:dyDescent="0.3">
      <c r="B98" s="85"/>
      <c r="C98" s="51"/>
      <c r="D98" s="387" t="s">
        <v>495</v>
      </c>
      <c r="E98" s="51"/>
      <c r="F98" s="59"/>
      <c r="G98" s="59"/>
      <c r="H98" s="60"/>
      <c r="I98" s="60"/>
      <c r="J98" s="59"/>
      <c r="K98" s="59"/>
      <c r="L98" s="58"/>
      <c r="M98" s="58"/>
      <c r="N98" s="5"/>
      <c r="O98" s="5"/>
      <c r="P98" s="5"/>
      <c r="Q98" s="5"/>
      <c r="R98" s="5"/>
      <c r="S98" s="5"/>
      <c r="T98" s="5"/>
      <c r="U98" s="5"/>
      <c r="AB98" s="5"/>
      <c r="AC98" s="5"/>
    </row>
    <row r="99" spans="1:29" ht="13.8" thickBot="1" x14ac:dyDescent="0.3">
      <c r="B99" s="171" t="s">
        <v>254</v>
      </c>
      <c r="C99" s="51"/>
      <c r="D99" s="51"/>
      <c r="E99" s="51"/>
      <c r="F99" s="53"/>
      <c r="G99" s="53"/>
      <c r="H99" s="52"/>
      <c r="I99" s="52"/>
      <c r="J99" s="58"/>
      <c r="K99" s="58"/>
      <c r="L99" s="58"/>
      <c r="M99" s="58"/>
      <c r="N99" s="5"/>
      <c r="O99" s="5"/>
      <c r="P99" s="5"/>
      <c r="Q99" s="5"/>
      <c r="R99" s="5"/>
      <c r="S99" s="5"/>
      <c r="T99" s="5"/>
      <c r="U99" s="5"/>
    </row>
    <row r="100" spans="1:29" ht="13.8" thickBot="1" x14ac:dyDescent="0.3">
      <c r="B100" s="51"/>
      <c r="C100" s="51" t="s">
        <v>614</v>
      </c>
      <c r="D100" s="58"/>
      <c r="E100" s="51"/>
      <c r="F100" s="95">
        <v>0.3</v>
      </c>
      <c r="G100" s="53" t="s">
        <v>256</v>
      </c>
      <c r="H100" s="77">
        <v>39.200000000000003</v>
      </c>
      <c r="I100" s="52" t="s">
        <v>257</v>
      </c>
      <c r="J100" s="58">
        <f t="shared" ref="J100:J112" si="11">F100*H100</f>
        <v>11.76</v>
      </c>
      <c r="K100" s="51" t="s">
        <v>57</v>
      </c>
      <c r="L100" s="58"/>
      <c r="M100" s="58"/>
      <c r="N100" s="5"/>
      <c r="O100" s="5"/>
      <c r="P100" s="5"/>
      <c r="Q100" s="5"/>
      <c r="R100" s="5"/>
      <c r="S100" s="5"/>
      <c r="T100" s="5"/>
      <c r="U100" s="5"/>
    </row>
    <row r="101" spans="1:29" ht="13.8" thickBot="1" x14ac:dyDescent="0.3">
      <c r="B101" s="51"/>
      <c r="C101" s="51" t="s">
        <v>615</v>
      </c>
      <c r="D101" s="58"/>
      <c r="E101" s="51"/>
      <c r="F101" s="95">
        <v>0.9</v>
      </c>
      <c r="G101" s="53" t="s">
        <v>212</v>
      </c>
      <c r="H101" s="77">
        <v>140</v>
      </c>
      <c r="I101" s="52" t="s">
        <v>206</v>
      </c>
      <c r="J101" s="58">
        <f t="shared" si="11"/>
        <v>126</v>
      </c>
      <c r="K101" s="51" t="s">
        <v>57</v>
      </c>
      <c r="L101" s="58"/>
      <c r="M101" s="58"/>
    </row>
    <row r="102" spans="1:29" ht="13.8" thickBot="1" x14ac:dyDescent="0.3">
      <c r="B102" s="51"/>
      <c r="C102" s="51" t="s">
        <v>616</v>
      </c>
      <c r="D102" s="58"/>
      <c r="E102" s="51"/>
      <c r="F102" s="95">
        <v>2</v>
      </c>
      <c r="G102" s="53" t="s">
        <v>212</v>
      </c>
      <c r="H102" s="77">
        <v>108</v>
      </c>
      <c r="I102" s="52" t="s">
        <v>206</v>
      </c>
      <c r="J102" s="58">
        <f t="shared" si="11"/>
        <v>216</v>
      </c>
      <c r="K102" s="51" t="s">
        <v>57</v>
      </c>
      <c r="L102" s="58"/>
      <c r="M102" s="58"/>
    </row>
    <row r="103" spans="1:29" ht="13.8" thickBot="1" x14ac:dyDescent="0.3">
      <c r="B103" s="51"/>
      <c r="C103" s="51" t="s">
        <v>265</v>
      </c>
      <c r="D103" s="58"/>
      <c r="E103" s="51"/>
      <c r="F103" s="95"/>
      <c r="G103" s="53" t="s">
        <v>212</v>
      </c>
      <c r="H103" s="77"/>
      <c r="I103" s="52" t="s">
        <v>206</v>
      </c>
      <c r="J103" s="58">
        <f t="shared" ref="J103" si="12">F103*H103</f>
        <v>0</v>
      </c>
      <c r="K103" s="51" t="s">
        <v>57</v>
      </c>
      <c r="L103" s="58"/>
      <c r="M103" s="58"/>
    </row>
    <row r="104" spans="1:29" ht="13.8" thickBot="1" x14ac:dyDescent="0.3">
      <c r="B104" s="51"/>
      <c r="C104" s="51" t="s">
        <v>265</v>
      </c>
      <c r="D104" s="51"/>
      <c r="E104" s="51"/>
      <c r="F104" s="95"/>
      <c r="G104" s="53" t="s">
        <v>256</v>
      </c>
      <c r="H104" s="77"/>
      <c r="I104" s="52" t="s">
        <v>257</v>
      </c>
      <c r="J104" s="58">
        <f t="shared" si="11"/>
        <v>0</v>
      </c>
      <c r="K104" s="51" t="s">
        <v>57</v>
      </c>
      <c r="L104" s="58"/>
      <c r="M104" s="58"/>
    </row>
    <row r="105" spans="1:29" ht="13.8" thickBot="1" x14ac:dyDescent="0.3">
      <c r="B105" s="51"/>
      <c r="C105" s="51" t="s">
        <v>265</v>
      </c>
      <c r="D105" s="51"/>
      <c r="E105" s="51"/>
      <c r="F105" s="95"/>
      <c r="G105" s="53" t="s">
        <v>256</v>
      </c>
      <c r="H105" s="77"/>
      <c r="I105" s="52" t="s">
        <v>257</v>
      </c>
      <c r="J105" s="58">
        <f t="shared" si="11"/>
        <v>0</v>
      </c>
      <c r="K105" s="51" t="s">
        <v>57</v>
      </c>
      <c r="L105" s="58"/>
      <c r="M105" s="58"/>
    </row>
    <row r="106" spans="1:29" x14ac:dyDescent="0.25">
      <c r="B106" s="51"/>
      <c r="C106" s="51"/>
      <c r="D106" s="51"/>
      <c r="E106" s="51"/>
      <c r="F106" s="53"/>
      <c r="G106" s="53"/>
      <c r="H106" s="52"/>
      <c r="I106" s="52"/>
      <c r="J106" s="58"/>
      <c r="K106" s="51"/>
      <c r="L106" s="58"/>
      <c r="M106" s="58"/>
    </row>
    <row r="107" spans="1:29" ht="13.8" thickBot="1" x14ac:dyDescent="0.3">
      <c r="B107" s="171" t="s">
        <v>266</v>
      </c>
      <c r="C107" s="51"/>
      <c r="D107" s="51"/>
      <c r="E107" s="51"/>
      <c r="F107" s="53"/>
      <c r="G107" s="53"/>
      <c r="H107" s="52"/>
      <c r="I107" s="52"/>
      <c r="J107" s="58"/>
      <c r="K107" s="51"/>
      <c r="L107" s="58"/>
      <c r="M107" s="58"/>
    </row>
    <row r="108" spans="1:29" ht="13.8" thickBot="1" x14ac:dyDescent="0.3">
      <c r="B108" s="51"/>
      <c r="C108" s="51" t="s">
        <v>617</v>
      </c>
      <c r="D108" s="51"/>
      <c r="E108" s="51"/>
      <c r="F108" s="76">
        <v>375000</v>
      </c>
      <c r="G108" s="53" t="s">
        <v>31</v>
      </c>
      <c r="H108" s="485">
        <v>2E-3</v>
      </c>
      <c r="I108" s="52" t="s">
        <v>246</v>
      </c>
      <c r="J108" s="58">
        <f t="shared" si="11"/>
        <v>750</v>
      </c>
      <c r="K108" s="51" t="s">
        <v>57</v>
      </c>
      <c r="L108" s="58"/>
      <c r="M108" s="58"/>
    </row>
    <row r="109" spans="1:29" ht="13.8" thickBot="1" x14ac:dyDescent="0.3">
      <c r="B109" s="51"/>
      <c r="C109" s="51" t="s">
        <v>619</v>
      </c>
      <c r="D109" s="51"/>
      <c r="E109" s="51"/>
      <c r="F109" s="95">
        <v>0.5</v>
      </c>
      <c r="G109" s="53" t="s">
        <v>212</v>
      </c>
      <c r="H109" s="95">
        <v>255</v>
      </c>
      <c r="I109" s="51" t="s">
        <v>206</v>
      </c>
      <c r="J109" s="58">
        <f t="shared" si="11"/>
        <v>127.5</v>
      </c>
      <c r="K109" s="51" t="s">
        <v>57</v>
      </c>
      <c r="L109" s="58"/>
      <c r="M109" s="58"/>
    </row>
    <row r="110" spans="1:29" ht="13.8" thickBot="1" x14ac:dyDescent="0.3">
      <c r="B110" s="51"/>
      <c r="C110" s="51" t="s">
        <v>267</v>
      </c>
      <c r="D110" s="51"/>
      <c r="E110" s="51"/>
      <c r="F110" s="95"/>
      <c r="G110" s="53"/>
      <c r="H110" s="95"/>
      <c r="I110" s="195"/>
      <c r="J110" s="58"/>
      <c r="K110" s="51"/>
      <c r="L110" s="58"/>
      <c r="M110" s="58"/>
    </row>
    <row r="111" spans="1:29" s="5" customFormat="1" ht="13.8" thickBot="1" x14ac:dyDescent="0.3">
      <c r="A111" s="516"/>
      <c r="B111" s="51"/>
      <c r="C111" s="51" t="s">
        <v>267</v>
      </c>
      <c r="D111" s="51"/>
      <c r="E111" s="51"/>
      <c r="F111" s="95"/>
      <c r="G111" s="53"/>
      <c r="H111" s="95"/>
      <c r="I111" s="195"/>
      <c r="J111" s="58">
        <f t="shared" si="11"/>
        <v>0</v>
      </c>
      <c r="K111" s="51" t="s">
        <v>57</v>
      </c>
      <c r="L111" s="58"/>
      <c r="M111" s="58"/>
      <c r="N111"/>
      <c r="O111"/>
      <c r="P111"/>
      <c r="Q111"/>
      <c r="R111"/>
      <c r="S111"/>
      <c r="T111"/>
      <c r="U111"/>
      <c r="AB111"/>
      <c r="AC111"/>
    </row>
    <row r="112" spans="1:29" ht="13.8" thickBot="1" x14ac:dyDescent="0.3">
      <c r="B112" s="51"/>
      <c r="C112" s="51" t="s">
        <v>267</v>
      </c>
      <c r="D112" s="51"/>
      <c r="E112" s="51"/>
      <c r="F112" s="95"/>
      <c r="G112" s="53"/>
      <c r="H112" s="95"/>
      <c r="I112" s="52"/>
      <c r="J112" s="58">
        <f t="shared" si="11"/>
        <v>0</v>
      </c>
      <c r="K112" s="51" t="s">
        <v>57</v>
      </c>
      <c r="L112" s="58"/>
      <c r="M112" s="58"/>
      <c r="AB112" s="5"/>
      <c r="AC112" s="5"/>
    </row>
    <row r="113" spans="2:21" x14ac:dyDescent="0.25">
      <c r="B113" s="195"/>
      <c r="C113" s="195" t="s">
        <v>54</v>
      </c>
      <c r="D113" s="195"/>
      <c r="E113" s="195"/>
      <c r="F113" s="196"/>
      <c r="G113" s="196"/>
      <c r="H113" s="196"/>
      <c r="I113" s="52"/>
      <c r="J113" s="195">
        <f>SUM(J100:J112)</f>
        <v>1231.26</v>
      </c>
      <c r="K113" s="195" t="s">
        <v>57</v>
      </c>
      <c r="L113" s="195"/>
      <c r="M113" s="195"/>
    </row>
    <row r="114" spans="2:21" ht="24" customHeight="1" x14ac:dyDescent="0.25">
      <c r="B114" s="195"/>
      <c r="C114" s="195"/>
      <c r="D114" s="195"/>
      <c r="E114" s="195"/>
      <c r="F114" s="196"/>
      <c r="G114" s="196"/>
      <c r="H114" s="196"/>
      <c r="I114" s="52"/>
      <c r="J114" s="195"/>
      <c r="K114" s="195"/>
      <c r="L114" s="195"/>
      <c r="M114" s="195"/>
    </row>
    <row r="115" spans="2:21" x14ac:dyDescent="0.25">
      <c r="B115" s="436"/>
      <c r="C115" s="436"/>
      <c r="D115" s="436"/>
      <c r="E115" s="436"/>
      <c r="F115" s="442"/>
      <c r="G115" s="442"/>
      <c r="H115" s="442"/>
      <c r="I115" s="437"/>
      <c r="J115" s="436"/>
      <c r="K115" s="436"/>
      <c r="L115" s="436"/>
      <c r="M115" s="436"/>
    </row>
    <row r="116" spans="2:21" ht="15.6" x14ac:dyDescent="0.3">
      <c r="B116" s="526" t="s">
        <v>620</v>
      </c>
      <c r="C116" s="527"/>
      <c r="D116" s="527"/>
      <c r="E116" s="527"/>
      <c r="F116" s="1125" t="s">
        <v>114</v>
      </c>
      <c r="G116" s="1125"/>
      <c r="H116" s="1125" t="s">
        <v>113</v>
      </c>
      <c r="I116" s="1125"/>
      <c r="J116" s="1125" t="s">
        <v>243</v>
      </c>
      <c r="K116" s="1125"/>
      <c r="L116" s="101"/>
      <c r="M116" s="101"/>
    </row>
    <row r="117" spans="2:21" ht="13.8" thickBot="1" x14ac:dyDescent="0.3">
      <c r="B117" s="527"/>
      <c r="C117" s="527"/>
      <c r="D117" s="527"/>
      <c r="E117" s="527"/>
      <c r="F117" s="527"/>
      <c r="G117" s="527"/>
      <c r="H117" s="528"/>
      <c r="I117" s="528"/>
      <c r="J117" s="101"/>
      <c r="K117" s="101"/>
      <c r="L117" s="101"/>
      <c r="M117" s="101"/>
    </row>
    <row r="118" spans="2:21" ht="13.8" thickBot="1" x14ac:dyDescent="0.3">
      <c r="B118" s="527"/>
      <c r="C118" s="527" t="s">
        <v>621</v>
      </c>
      <c r="D118" s="101"/>
      <c r="E118" s="527"/>
      <c r="F118" s="529">
        <v>5</v>
      </c>
      <c r="G118" s="527" t="s">
        <v>622</v>
      </c>
      <c r="H118" s="530">
        <v>160</v>
      </c>
      <c r="I118" s="528" t="s">
        <v>623</v>
      </c>
      <c r="J118" s="531">
        <f t="shared" ref="J118:J120" si="13">F118*H118</f>
        <v>800</v>
      </c>
      <c r="K118" s="527" t="s">
        <v>57</v>
      </c>
      <c r="L118" s="101"/>
      <c r="M118" s="101"/>
    </row>
    <row r="119" spans="2:21" ht="13.8" thickBot="1" x14ac:dyDescent="0.3">
      <c r="B119" s="527"/>
      <c r="C119" s="527" t="s">
        <v>372</v>
      </c>
      <c r="D119" s="527"/>
      <c r="E119" s="527"/>
      <c r="F119" s="529"/>
      <c r="G119" s="527" t="s">
        <v>7</v>
      </c>
      <c r="H119" s="530"/>
      <c r="I119" s="528" t="s">
        <v>57</v>
      </c>
      <c r="J119" s="531">
        <f t="shared" si="13"/>
        <v>0</v>
      </c>
      <c r="K119" s="527" t="s">
        <v>57</v>
      </c>
      <c r="L119" s="101"/>
      <c r="M119" s="101"/>
    </row>
    <row r="120" spans="2:21" ht="13.8" thickBot="1" x14ac:dyDescent="0.3">
      <c r="B120" s="527"/>
      <c r="C120" s="527" t="s">
        <v>372</v>
      </c>
      <c r="D120" s="527"/>
      <c r="E120" s="527"/>
      <c r="F120" s="529"/>
      <c r="G120" s="527" t="s">
        <v>7</v>
      </c>
      <c r="H120" s="530"/>
      <c r="I120" s="528" t="s">
        <v>57</v>
      </c>
      <c r="J120" s="531">
        <f t="shared" si="13"/>
        <v>0</v>
      </c>
      <c r="K120" s="527" t="s">
        <v>57</v>
      </c>
      <c r="L120" s="101"/>
      <c r="M120" s="101"/>
    </row>
    <row r="121" spans="2:21" x14ac:dyDescent="0.25">
      <c r="B121" s="305"/>
      <c r="C121" s="305" t="s">
        <v>54</v>
      </c>
      <c r="D121" s="305"/>
      <c r="E121" s="305"/>
      <c r="F121" s="305"/>
      <c r="G121" s="305"/>
      <c r="H121" s="532"/>
      <c r="I121" s="532"/>
      <c r="J121" s="533">
        <f>SUM(J118:J120)</f>
        <v>800</v>
      </c>
      <c r="K121" s="305" t="s">
        <v>57</v>
      </c>
      <c r="L121" s="305"/>
      <c r="M121" s="305"/>
    </row>
    <row r="122" spans="2:21" ht="25.2" customHeight="1" x14ac:dyDescent="0.25">
      <c r="B122" s="527"/>
      <c r="C122" s="527"/>
      <c r="D122" s="527"/>
      <c r="E122" s="527"/>
      <c r="F122" s="527"/>
      <c r="G122" s="527"/>
      <c r="H122" s="528"/>
      <c r="I122" s="528"/>
      <c r="J122" s="531"/>
      <c r="K122" s="527"/>
      <c r="L122" s="101"/>
      <c r="M122" s="101"/>
    </row>
    <row r="123" spans="2:21" x14ac:dyDescent="0.25">
      <c r="B123" s="116"/>
      <c r="C123" s="116"/>
      <c r="D123" s="116"/>
      <c r="E123" s="116"/>
      <c r="F123" s="116"/>
      <c r="G123" s="116"/>
      <c r="H123" s="116"/>
      <c r="I123" s="116"/>
      <c r="J123" s="116"/>
      <c r="K123" s="116"/>
      <c r="L123" s="116"/>
      <c r="M123" s="116"/>
      <c r="N123" s="5"/>
      <c r="O123" s="5"/>
      <c r="P123" s="5"/>
      <c r="Q123" s="5"/>
      <c r="R123" s="5"/>
      <c r="S123" s="5"/>
      <c r="T123" s="5"/>
      <c r="U123" s="5"/>
    </row>
    <row r="124" spans="2:21" ht="15.6" x14ac:dyDescent="0.3">
      <c r="B124" s="86" t="s">
        <v>624</v>
      </c>
      <c r="C124" s="61"/>
      <c r="D124" s="61"/>
      <c r="E124" s="61"/>
      <c r="F124" s="1071" t="s">
        <v>114</v>
      </c>
      <c r="G124" s="1071"/>
      <c r="H124" s="1071" t="s">
        <v>113</v>
      </c>
      <c r="I124" s="1071"/>
      <c r="J124" s="1071" t="s">
        <v>243</v>
      </c>
      <c r="K124" s="1071"/>
      <c r="L124" s="63"/>
      <c r="M124" s="63"/>
    </row>
    <row r="125" spans="2:21" ht="13.8" thickBot="1" x14ac:dyDescent="0.3">
      <c r="B125" s="61"/>
      <c r="C125" s="61"/>
      <c r="D125" s="61"/>
      <c r="E125" s="61"/>
      <c r="F125" s="61"/>
      <c r="G125" s="61"/>
      <c r="H125" s="62"/>
      <c r="I125" s="62"/>
      <c r="J125" s="63"/>
      <c r="K125" s="63"/>
      <c r="L125" s="63"/>
      <c r="M125" s="63"/>
    </row>
    <row r="126" spans="2:21" ht="13.8" thickBot="1" x14ac:dyDescent="0.3">
      <c r="B126" s="61"/>
      <c r="C126" s="61" t="s">
        <v>625</v>
      </c>
      <c r="D126" s="61"/>
      <c r="E126" s="61"/>
      <c r="F126" s="388">
        <f>IF(S10&gt;0,S10*'Gårdens info'!$G$29/1,0)</f>
        <v>0</v>
      </c>
      <c r="G126" s="61" t="s">
        <v>116</v>
      </c>
      <c r="H126" s="77">
        <v>0</v>
      </c>
      <c r="I126" s="62" t="s">
        <v>74</v>
      </c>
      <c r="J126" s="64">
        <f>F126*H126</f>
        <v>0</v>
      </c>
      <c r="K126" s="61" t="s">
        <v>57</v>
      </c>
      <c r="L126" s="63"/>
      <c r="M126" s="63"/>
    </row>
    <row r="127" spans="2:21" ht="13.8" thickBot="1" x14ac:dyDescent="0.3">
      <c r="B127" s="61"/>
      <c r="C127" s="61" t="s">
        <v>626</v>
      </c>
      <c r="D127" s="63"/>
      <c r="E127" s="61"/>
      <c r="F127" s="388">
        <f>IF(S11&gt;0,S11*'Gårdens info'!$G$29/5,0)</f>
        <v>0</v>
      </c>
      <c r="G127" s="61" t="s">
        <v>116</v>
      </c>
      <c r="H127" s="77">
        <v>0.65</v>
      </c>
      <c r="I127" s="62" t="s">
        <v>74</v>
      </c>
      <c r="J127" s="64">
        <f>F127*H127</f>
        <v>0</v>
      </c>
      <c r="K127" s="61" t="s">
        <v>57</v>
      </c>
      <c r="L127" s="63"/>
      <c r="M127" s="63"/>
    </row>
    <row r="128" spans="2:21" ht="13.8" thickBot="1" x14ac:dyDescent="0.3">
      <c r="B128" s="61"/>
      <c r="C128" s="61" t="s">
        <v>627</v>
      </c>
      <c r="D128" s="63"/>
      <c r="E128" s="61"/>
      <c r="F128" s="388">
        <f>IF(S12&gt;0,S12*'Gårdens info'!$G$29/3,0)</f>
        <v>0</v>
      </c>
      <c r="G128" s="61" t="s">
        <v>116</v>
      </c>
      <c r="H128" s="77">
        <v>0.89</v>
      </c>
      <c r="I128" s="62" t="s">
        <v>74</v>
      </c>
      <c r="J128" s="64">
        <f t="shared" ref="J128:J133" si="14">F128*H128</f>
        <v>0</v>
      </c>
      <c r="K128" s="61" t="s">
        <v>57</v>
      </c>
      <c r="L128" s="63"/>
      <c r="M128" s="63"/>
    </row>
    <row r="129" spans="2:13" ht="13.8" thickBot="1" x14ac:dyDescent="0.3">
      <c r="B129" s="61"/>
      <c r="C129" s="61" t="s">
        <v>628</v>
      </c>
      <c r="D129" s="63"/>
      <c r="E129" s="61"/>
      <c r="F129" s="388">
        <f>IF(S13&gt;0,S13*'Gårdens info'!$G$29/0.5,0)</f>
        <v>1600</v>
      </c>
      <c r="G129" s="61" t="s">
        <v>116</v>
      </c>
      <c r="H129" s="77">
        <v>1.35</v>
      </c>
      <c r="I129" s="62" t="s">
        <v>74</v>
      </c>
      <c r="J129" s="64">
        <f t="shared" si="14"/>
        <v>2160</v>
      </c>
      <c r="K129" s="61" t="s">
        <v>57</v>
      </c>
      <c r="L129" s="63"/>
      <c r="M129" s="63"/>
    </row>
    <row r="130" spans="2:13" ht="13.8" thickBot="1" x14ac:dyDescent="0.3">
      <c r="B130" s="61"/>
      <c r="C130" s="61" t="s">
        <v>629</v>
      </c>
      <c r="D130" s="63"/>
      <c r="E130" s="61"/>
      <c r="F130" s="388">
        <f>IF(S14&gt;0,S14*'Gårdens info'!$G$29/0.25,0)</f>
        <v>28800</v>
      </c>
      <c r="G130" s="61" t="s">
        <v>116</v>
      </c>
      <c r="H130" s="77">
        <v>0.95</v>
      </c>
      <c r="I130" s="62" t="s">
        <v>74</v>
      </c>
      <c r="J130" s="64">
        <f t="shared" si="14"/>
        <v>27360</v>
      </c>
      <c r="K130" s="61" t="s">
        <v>57</v>
      </c>
      <c r="L130" s="63"/>
      <c r="M130" s="63"/>
    </row>
    <row r="131" spans="2:13" ht="13.8" thickBot="1" x14ac:dyDescent="0.3">
      <c r="B131" s="61"/>
      <c r="C131" s="77" t="s">
        <v>272</v>
      </c>
      <c r="D131" s="77"/>
      <c r="E131" s="61" t="s">
        <v>212</v>
      </c>
      <c r="F131" s="388">
        <f>IF(S15&gt;0,S15*'Gårdens info'!$G$29/D131,0)</f>
        <v>0</v>
      </c>
      <c r="G131" s="61" t="s">
        <v>116</v>
      </c>
      <c r="H131" s="77"/>
      <c r="I131" s="62" t="s">
        <v>74</v>
      </c>
      <c r="J131" s="64">
        <f t="shared" si="14"/>
        <v>0</v>
      </c>
      <c r="K131" s="61" t="s">
        <v>57</v>
      </c>
      <c r="L131" s="63"/>
      <c r="M131" s="63"/>
    </row>
    <row r="132" spans="2:13" ht="13.8" thickBot="1" x14ac:dyDescent="0.3">
      <c r="B132" s="61"/>
      <c r="C132" s="77" t="s">
        <v>272</v>
      </c>
      <c r="D132" s="77"/>
      <c r="E132" s="61" t="s">
        <v>212</v>
      </c>
      <c r="F132" s="388">
        <f>IF(S16&gt;0,S16*'Gårdens info'!$G$29/D132,0)</f>
        <v>0</v>
      </c>
      <c r="G132" s="61" t="s">
        <v>116</v>
      </c>
      <c r="H132" s="77"/>
      <c r="I132" s="62" t="s">
        <v>74</v>
      </c>
      <c r="J132" s="64">
        <f t="shared" ref="J132" si="15">F132*H132</f>
        <v>0</v>
      </c>
      <c r="K132" s="61" t="s">
        <v>57</v>
      </c>
      <c r="L132" s="63"/>
      <c r="M132" s="63"/>
    </row>
    <row r="133" spans="2:13" ht="13.8" thickBot="1" x14ac:dyDescent="0.3">
      <c r="B133" s="61"/>
      <c r="C133" s="77" t="s">
        <v>272</v>
      </c>
      <c r="D133" s="77"/>
      <c r="E133" s="61" t="s">
        <v>212</v>
      </c>
      <c r="F133" s="388">
        <f>IF(S17&gt;0,S17*'Gårdens info'!$G$29/D133,0)</f>
        <v>0</v>
      </c>
      <c r="G133" s="61" t="s">
        <v>116</v>
      </c>
      <c r="H133" s="77"/>
      <c r="I133" s="62" t="s">
        <v>74</v>
      </c>
      <c r="J133" s="64">
        <f t="shared" si="14"/>
        <v>0</v>
      </c>
      <c r="K133" s="61" t="s">
        <v>57</v>
      </c>
      <c r="L133" s="63"/>
      <c r="M133" s="63"/>
    </row>
    <row r="134" spans="2:13" x14ac:dyDescent="0.25">
      <c r="B134" s="198"/>
      <c r="C134" s="198" t="s">
        <v>54</v>
      </c>
      <c r="D134" s="198"/>
      <c r="E134" s="198"/>
      <c r="F134" s="198"/>
      <c r="G134" s="198"/>
      <c r="H134" s="199"/>
      <c r="I134" s="199"/>
      <c r="J134" s="200">
        <f>SUM(J127:J133)</f>
        <v>29520</v>
      </c>
      <c r="K134" s="198" t="s">
        <v>57</v>
      </c>
      <c r="L134" s="198"/>
      <c r="M134" s="198"/>
    </row>
    <row r="135" spans="2:13" ht="25.95" customHeight="1" x14ac:dyDescent="0.25">
      <c r="B135" s="61"/>
      <c r="C135" s="61"/>
      <c r="D135" s="61"/>
      <c r="E135" s="61"/>
      <c r="F135" s="61"/>
      <c r="G135" s="61"/>
      <c r="H135" s="62"/>
      <c r="I135" s="62"/>
      <c r="J135" s="64"/>
      <c r="K135" s="61"/>
      <c r="L135" s="63"/>
      <c r="M135" s="63"/>
    </row>
    <row r="136" spans="2:13" x14ac:dyDescent="0.25">
      <c r="B136" s="116"/>
      <c r="C136" s="116"/>
      <c r="D136" s="116"/>
      <c r="E136" s="116"/>
      <c r="F136" s="116"/>
      <c r="G136" s="116"/>
      <c r="H136" s="116"/>
      <c r="I136" s="116"/>
      <c r="J136" s="116"/>
      <c r="K136" s="116"/>
      <c r="L136" s="116"/>
      <c r="M136" s="116"/>
    </row>
    <row r="137" spans="2:13" ht="15.6" x14ac:dyDescent="0.3">
      <c r="B137" s="87" t="s">
        <v>630</v>
      </c>
      <c r="C137" s="65"/>
      <c r="D137" s="65"/>
      <c r="E137" s="65"/>
      <c r="F137" s="1072" t="s">
        <v>114</v>
      </c>
      <c r="G137" s="1072"/>
      <c r="H137" s="1072" t="s">
        <v>113</v>
      </c>
      <c r="I137" s="1072"/>
      <c r="J137" s="1072" t="s">
        <v>243</v>
      </c>
      <c r="K137" s="1072"/>
      <c r="L137" s="67"/>
      <c r="M137" s="67"/>
    </row>
    <row r="138" spans="2:13" ht="13.8" thickBot="1" x14ac:dyDescent="0.3">
      <c r="B138" s="65"/>
      <c r="C138" s="65"/>
      <c r="D138" s="65"/>
      <c r="E138" s="65"/>
      <c r="F138" s="65"/>
      <c r="G138" s="65"/>
      <c r="H138" s="66"/>
      <c r="I138" s="66"/>
      <c r="J138" s="67"/>
      <c r="K138" s="67"/>
      <c r="L138" s="67"/>
      <c r="M138" s="67"/>
    </row>
    <row r="139" spans="2:13" ht="13.8" thickBot="1" x14ac:dyDescent="0.3">
      <c r="B139" s="65"/>
      <c r="C139" s="65" t="s">
        <v>222</v>
      </c>
      <c r="D139" s="67"/>
      <c r="E139" s="65"/>
      <c r="F139" s="74">
        <f>'Gårdens info'!G29*'Gårdens info'!D29</f>
        <v>0</v>
      </c>
      <c r="G139" s="65" t="s">
        <v>212</v>
      </c>
      <c r="H139" s="77">
        <v>0.15</v>
      </c>
      <c r="I139" s="66" t="s">
        <v>206</v>
      </c>
      <c r="J139" s="68">
        <f t="shared" ref="J139:J141" si="16">F139*H139</f>
        <v>0</v>
      </c>
      <c r="K139" s="65" t="s">
        <v>57</v>
      </c>
      <c r="L139" s="67"/>
      <c r="M139" s="67"/>
    </row>
    <row r="140" spans="2:13" ht="13.8" thickBot="1" x14ac:dyDescent="0.3">
      <c r="B140" s="65"/>
      <c r="C140" s="65" t="s">
        <v>274</v>
      </c>
      <c r="D140" s="65"/>
      <c r="E140" s="65"/>
      <c r="F140" s="74"/>
      <c r="G140" s="65" t="s">
        <v>212</v>
      </c>
      <c r="H140" s="77"/>
      <c r="I140" s="66" t="s">
        <v>206</v>
      </c>
      <c r="J140" s="68">
        <f t="shared" si="16"/>
        <v>0</v>
      </c>
      <c r="K140" s="65" t="s">
        <v>57</v>
      </c>
      <c r="L140" s="67"/>
      <c r="M140" s="67"/>
    </row>
    <row r="141" spans="2:13" ht="13.8" thickBot="1" x14ac:dyDescent="0.3">
      <c r="B141" s="65"/>
      <c r="C141" s="65" t="s">
        <v>274</v>
      </c>
      <c r="D141" s="65"/>
      <c r="E141" s="65"/>
      <c r="F141" s="74"/>
      <c r="G141" s="65" t="s">
        <v>212</v>
      </c>
      <c r="H141" s="77"/>
      <c r="I141" s="66" t="s">
        <v>206</v>
      </c>
      <c r="J141" s="68">
        <f t="shared" si="16"/>
        <v>0</v>
      </c>
      <c r="K141" s="65" t="s">
        <v>57</v>
      </c>
      <c r="L141" s="67"/>
      <c r="M141" s="67"/>
    </row>
    <row r="142" spans="2:13" x14ac:dyDescent="0.25">
      <c r="B142" s="201"/>
      <c r="C142" s="201" t="s">
        <v>54</v>
      </c>
      <c r="D142" s="201"/>
      <c r="E142" s="201"/>
      <c r="F142" s="201"/>
      <c r="G142" s="201"/>
      <c r="H142" s="202"/>
      <c r="I142" s="202"/>
      <c r="J142" s="203">
        <f>SUM(J139:J141)</f>
        <v>0</v>
      </c>
      <c r="K142" s="201" t="s">
        <v>57</v>
      </c>
      <c r="L142" s="201"/>
      <c r="M142" s="201"/>
    </row>
    <row r="143" spans="2:13" ht="19.2" customHeight="1" x14ac:dyDescent="0.25">
      <c r="B143" s="65"/>
      <c r="C143" s="65"/>
      <c r="D143" s="65"/>
      <c r="E143" s="65"/>
      <c r="F143" s="65"/>
      <c r="G143" s="65"/>
      <c r="H143" s="66"/>
      <c r="I143" s="66"/>
      <c r="J143" s="68"/>
      <c r="K143" s="65"/>
      <c r="L143" s="67"/>
      <c r="M143" s="67"/>
    </row>
    <row r="144" spans="2:13" x14ac:dyDescent="0.25">
      <c r="B144" s="116"/>
      <c r="C144" s="116"/>
      <c r="D144" s="116"/>
      <c r="E144" s="116"/>
      <c r="F144" s="116"/>
      <c r="G144" s="116"/>
      <c r="H144" s="116"/>
      <c r="I144" s="116"/>
      <c r="J144" s="116"/>
      <c r="K144" s="116"/>
      <c r="L144" s="116"/>
      <c r="M144" s="116"/>
    </row>
    <row r="145" spans="2:13" ht="15.6" x14ac:dyDescent="0.3">
      <c r="B145" s="176" t="s">
        <v>651</v>
      </c>
      <c r="C145" s="177"/>
      <c r="D145" s="177"/>
      <c r="E145" s="177"/>
      <c r="F145" s="1067" t="s">
        <v>114</v>
      </c>
      <c r="G145" s="1067"/>
      <c r="H145" s="1067" t="s">
        <v>113</v>
      </c>
      <c r="I145" s="1067"/>
      <c r="J145" s="1067" t="s">
        <v>243</v>
      </c>
      <c r="K145" s="1067"/>
      <c r="L145" s="179"/>
      <c r="M145" s="179"/>
    </row>
    <row r="146" spans="2:13" ht="13.8" thickBot="1" x14ac:dyDescent="0.3">
      <c r="B146" s="177"/>
      <c r="C146" s="177"/>
      <c r="D146" s="177"/>
      <c r="E146" s="177"/>
      <c r="F146" s="177"/>
      <c r="G146" s="177"/>
      <c r="H146" s="178"/>
      <c r="I146" s="178"/>
      <c r="J146" s="179"/>
      <c r="K146" s="179"/>
      <c r="L146" s="179"/>
      <c r="M146" s="179"/>
    </row>
    <row r="147" spans="2:13" ht="13.8" thickBot="1" x14ac:dyDescent="0.3">
      <c r="B147" s="177"/>
      <c r="C147" s="177" t="s">
        <v>292</v>
      </c>
      <c r="D147" s="179"/>
      <c r="E147" s="177"/>
      <c r="F147" s="74">
        <v>1</v>
      </c>
      <c r="G147" s="177" t="s">
        <v>7</v>
      </c>
      <c r="H147" s="77">
        <v>73</v>
      </c>
      <c r="I147" s="178" t="s">
        <v>57</v>
      </c>
      <c r="J147" s="180">
        <f t="shared" ref="J147:J149" si="17">F147*H147</f>
        <v>73</v>
      </c>
      <c r="K147" s="177" t="s">
        <v>57</v>
      </c>
      <c r="L147" s="179"/>
      <c r="M147" s="179"/>
    </row>
    <row r="148" spans="2:13" ht="13.8" thickBot="1" x14ac:dyDescent="0.3">
      <c r="B148" s="177"/>
      <c r="C148" s="177" t="s">
        <v>274</v>
      </c>
      <c r="D148" s="177"/>
      <c r="E148" s="177"/>
      <c r="F148" s="74"/>
      <c r="G148" s="177" t="s">
        <v>7</v>
      </c>
      <c r="H148" s="77"/>
      <c r="I148" s="178" t="s">
        <v>57</v>
      </c>
      <c r="J148" s="180">
        <f t="shared" si="17"/>
        <v>0</v>
      </c>
      <c r="K148" s="177" t="s">
        <v>57</v>
      </c>
      <c r="L148" s="179"/>
      <c r="M148" s="179"/>
    </row>
    <row r="149" spans="2:13" ht="13.8" thickBot="1" x14ac:dyDescent="0.3">
      <c r="B149" s="177"/>
      <c r="C149" s="177" t="s">
        <v>274</v>
      </c>
      <c r="D149" s="177"/>
      <c r="E149" s="177"/>
      <c r="F149" s="74"/>
      <c r="G149" s="177" t="s">
        <v>7</v>
      </c>
      <c r="H149" s="77"/>
      <c r="I149" s="178" t="s">
        <v>57</v>
      </c>
      <c r="J149" s="180">
        <f t="shared" si="17"/>
        <v>0</v>
      </c>
      <c r="K149" s="177" t="s">
        <v>57</v>
      </c>
      <c r="L149" s="179"/>
      <c r="M149" s="179"/>
    </row>
    <row r="150" spans="2:13" x14ac:dyDescent="0.25">
      <c r="B150" s="204"/>
      <c r="C150" s="204" t="s">
        <v>54</v>
      </c>
      <c r="D150" s="204"/>
      <c r="E150" s="204"/>
      <c r="F150" s="204"/>
      <c r="G150" s="204"/>
      <c r="H150" s="205"/>
      <c r="I150" s="205"/>
      <c r="J150" s="206">
        <f>SUM(J147:J149)</f>
        <v>73</v>
      </c>
      <c r="K150" s="204" t="s">
        <v>57</v>
      </c>
      <c r="L150" s="204"/>
      <c r="M150" s="204"/>
    </row>
    <row r="151" spans="2:13" ht="22.95" customHeight="1" x14ac:dyDescent="0.25">
      <c r="B151" s="177"/>
      <c r="C151" s="177"/>
      <c r="D151" s="177"/>
      <c r="E151" s="177"/>
      <c r="F151" s="177"/>
      <c r="G151" s="177"/>
      <c r="H151" s="178"/>
      <c r="I151" s="178"/>
      <c r="J151" s="180"/>
      <c r="K151" s="177"/>
      <c r="L151" s="179"/>
      <c r="M151" s="179"/>
    </row>
    <row r="152" spans="2:13" x14ac:dyDescent="0.25">
      <c r="B152" s="116"/>
      <c r="C152" s="116"/>
      <c r="D152" s="116"/>
      <c r="E152" s="116"/>
      <c r="F152" s="116"/>
      <c r="G152" s="116"/>
      <c r="H152" s="116"/>
      <c r="I152" s="116"/>
      <c r="J152" s="116"/>
      <c r="K152" s="116"/>
      <c r="L152" s="116"/>
      <c r="M152" s="116"/>
    </row>
    <row r="153" spans="2:13" ht="16.2" thickBot="1" x14ac:dyDescent="0.35">
      <c r="B153" s="181" t="s">
        <v>632</v>
      </c>
      <c r="C153" s="182"/>
      <c r="D153" s="182"/>
      <c r="E153" s="183"/>
      <c r="F153" s="182"/>
      <c r="G153" s="184"/>
      <c r="H153" s="184"/>
      <c r="I153" s="182"/>
      <c r="J153" s="182"/>
      <c r="K153" s="185"/>
      <c r="L153" s="185"/>
      <c r="M153" s="185"/>
    </row>
    <row r="154" spans="2:13" ht="13.8" thickBot="1" x14ac:dyDescent="0.3">
      <c r="B154" s="182"/>
      <c r="C154" s="182" t="s">
        <v>278</v>
      </c>
      <c r="D154" s="185"/>
      <c r="E154" s="186"/>
      <c r="F154" s="74">
        <v>1</v>
      </c>
      <c r="G154" s="187" t="s">
        <v>280</v>
      </c>
      <c r="H154" s="74">
        <v>1200</v>
      </c>
      <c r="I154" s="188" t="s">
        <v>279</v>
      </c>
      <c r="J154" s="185">
        <f>F154*H154</f>
        <v>1200</v>
      </c>
      <c r="K154" s="188" t="s">
        <v>57</v>
      </c>
      <c r="L154" s="185"/>
      <c r="M154" s="185"/>
    </row>
    <row r="155" spans="2:13" ht="13.8" thickBot="1" x14ac:dyDescent="0.3">
      <c r="B155" s="182"/>
      <c r="C155" s="182" t="s">
        <v>281</v>
      </c>
      <c r="D155" s="188">
        <f>F190/2</f>
        <v>130</v>
      </c>
      <c r="E155" s="182" t="s">
        <v>282</v>
      </c>
      <c r="F155" s="74">
        <v>1.27</v>
      </c>
      <c r="G155" s="184" t="s">
        <v>257</v>
      </c>
      <c r="H155" s="74">
        <v>1250</v>
      </c>
      <c r="I155" s="188" t="s">
        <v>256</v>
      </c>
      <c r="J155" s="185">
        <f t="shared" ref="J155:J159" si="18">F155*H155</f>
        <v>1587.5</v>
      </c>
      <c r="K155" s="188" t="s">
        <v>57</v>
      </c>
      <c r="L155" s="185"/>
      <c r="M155" s="185"/>
    </row>
    <row r="156" spans="2:13" ht="13.8" thickBot="1" x14ac:dyDescent="0.3">
      <c r="B156" s="182"/>
      <c r="C156" s="182" t="s">
        <v>283</v>
      </c>
      <c r="D156" s="188">
        <f>D155</f>
        <v>130</v>
      </c>
      <c r="E156" s="182" t="s">
        <v>282</v>
      </c>
      <c r="F156" s="74">
        <v>117</v>
      </c>
      <c r="G156" s="184" t="s">
        <v>206</v>
      </c>
      <c r="H156" s="74">
        <v>1</v>
      </c>
      <c r="I156" s="188" t="s">
        <v>212</v>
      </c>
      <c r="J156" s="185">
        <f t="shared" si="18"/>
        <v>117</v>
      </c>
      <c r="K156" s="188" t="s">
        <v>57</v>
      </c>
      <c r="L156" s="185"/>
      <c r="M156" s="185"/>
    </row>
    <row r="157" spans="2:13" ht="13.8" thickBot="1" x14ac:dyDescent="0.3">
      <c r="B157" s="182"/>
      <c r="C157" s="182" t="s">
        <v>652</v>
      </c>
      <c r="D157" s="185"/>
      <c r="E157" s="188"/>
      <c r="F157" s="74">
        <v>0</v>
      </c>
      <c r="G157" s="184" t="s">
        <v>257</v>
      </c>
      <c r="H157" s="74">
        <v>200</v>
      </c>
      <c r="I157" s="188" t="s">
        <v>256</v>
      </c>
      <c r="J157" s="185">
        <f t="shared" si="18"/>
        <v>0</v>
      </c>
      <c r="K157" s="188" t="s">
        <v>57</v>
      </c>
      <c r="L157" s="185"/>
      <c r="M157" s="185"/>
    </row>
    <row r="158" spans="2:13" ht="13.8" thickBot="1" x14ac:dyDescent="0.3">
      <c r="B158" s="182"/>
      <c r="C158" s="182" t="s">
        <v>285</v>
      </c>
      <c r="D158" s="185"/>
      <c r="E158" s="188"/>
      <c r="F158" s="74">
        <v>2.2000000000000002</v>
      </c>
      <c r="G158" s="184" t="s">
        <v>257</v>
      </c>
      <c r="H158" s="74">
        <v>25</v>
      </c>
      <c r="I158" s="188" t="s">
        <v>256</v>
      </c>
      <c r="J158" s="185">
        <f t="shared" si="18"/>
        <v>55.000000000000007</v>
      </c>
      <c r="K158" s="188" t="s">
        <v>57</v>
      </c>
      <c r="L158" s="185"/>
      <c r="M158" s="185"/>
    </row>
    <row r="159" spans="2:13" ht="13.8" thickBot="1" x14ac:dyDescent="0.3">
      <c r="B159" s="185"/>
      <c r="C159" s="182" t="s">
        <v>286</v>
      </c>
      <c r="D159" s="185"/>
      <c r="E159" s="185"/>
      <c r="F159" s="74"/>
      <c r="G159" s="185"/>
      <c r="H159" s="74"/>
      <c r="I159" s="185"/>
      <c r="J159" s="185">
        <f t="shared" si="18"/>
        <v>0</v>
      </c>
      <c r="K159" s="188" t="s">
        <v>57</v>
      </c>
      <c r="L159" s="185"/>
      <c r="M159" s="185"/>
    </row>
    <row r="160" spans="2:13" x14ac:dyDescent="0.25">
      <c r="B160" s="207"/>
      <c r="C160" s="207" t="s">
        <v>54</v>
      </c>
      <c r="D160" s="207"/>
      <c r="E160" s="207"/>
      <c r="F160" s="207"/>
      <c r="G160" s="207"/>
      <c r="H160" s="207"/>
      <c r="I160" s="207"/>
      <c r="J160" s="207">
        <f>SUM(J154:J159)</f>
        <v>2959.5</v>
      </c>
      <c r="K160" s="208" t="s">
        <v>57</v>
      </c>
      <c r="L160" s="207"/>
      <c r="M160" s="207"/>
    </row>
    <row r="161" spans="1:29" ht="31.2" customHeight="1" x14ac:dyDescent="0.25">
      <c r="B161" s="185"/>
      <c r="C161" s="185"/>
      <c r="D161" s="185"/>
      <c r="E161" s="185"/>
      <c r="F161" s="185"/>
      <c r="G161" s="185"/>
      <c r="H161" s="185"/>
      <c r="I161" s="185"/>
      <c r="J161" s="185"/>
      <c r="K161" s="185"/>
      <c r="L161" s="185"/>
      <c r="M161" s="185"/>
    </row>
    <row r="162" spans="1:29" x14ac:dyDescent="0.25">
      <c r="B162" s="116"/>
      <c r="C162" s="116"/>
      <c r="D162" s="116"/>
      <c r="E162" s="116"/>
      <c r="F162" s="116"/>
      <c r="G162" s="116"/>
      <c r="H162" s="116"/>
      <c r="I162" s="116"/>
      <c r="J162" s="116"/>
      <c r="K162" s="116"/>
      <c r="L162" s="116"/>
      <c r="M162" s="116"/>
    </row>
    <row r="163" spans="1:29" ht="15.6" x14ac:dyDescent="0.3">
      <c r="B163" s="88" t="s">
        <v>634</v>
      </c>
      <c r="C163" s="79"/>
      <c r="D163" s="79"/>
      <c r="E163" s="79"/>
      <c r="F163" s="79"/>
      <c r="G163" s="79"/>
      <c r="H163" s="79"/>
      <c r="I163" s="79"/>
      <c r="J163" s="79"/>
      <c r="K163" s="79"/>
      <c r="L163" s="79"/>
      <c r="M163" s="79"/>
    </row>
    <row r="164" spans="1:29" ht="15.6" x14ac:dyDescent="0.3">
      <c r="B164" s="88"/>
      <c r="C164" s="79"/>
      <c r="D164" s="79"/>
      <c r="E164" s="79"/>
      <c r="F164" s="79"/>
      <c r="G164" s="79"/>
      <c r="H164" s="79"/>
      <c r="I164" s="79"/>
      <c r="J164" s="79"/>
      <c r="K164" s="79"/>
      <c r="L164" s="79"/>
      <c r="M164" s="79"/>
    </row>
    <row r="165" spans="1:29" ht="15" customHeight="1" x14ac:dyDescent="0.25">
      <c r="B165" s="1112" t="s">
        <v>499</v>
      </c>
      <c r="C165" s="1112"/>
      <c r="D165" s="1112"/>
      <c r="E165" s="1112"/>
      <c r="F165" s="1112"/>
      <c r="G165" s="1112"/>
      <c r="H165" s="1112"/>
      <c r="I165" s="1112"/>
      <c r="J165" s="1112"/>
      <c r="K165" s="1112"/>
      <c r="L165" s="1112"/>
      <c r="M165" s="1112"/>
    </row>
    <row r="166" spans="1:29" x14ac:dyDescent="0.25">
      <c r="B166" s="1112"/>
      <c r="C166" s="1112"/>
      <c r="D166" s="1112"/>
      <c r="E166" s="1112"/>
      <c r="F166" s="1112"/>
      <c r="G166" s="1112"/>
      <c r="H166" s="1112"/>
      <c r="I166" s="1112"/>
      <c r="J166" s="1112"/>
      <c r="K166" s="1112"/>
      <c r="L166" s="1112"/>
      <c r="M166" s="1112"/>
    </row>
    <row r="167" spans="1:29" ht="15.6" x14ac:dyDescent="0.3">
      <c r="B167" s="88"/>
      <c r="C167" s="79"/>
      <c r="D167" s="79"/>
      <c r="E167" s="1069" t="s">
        <v>290</v>
      </c>
      <c r="F167" s="1069"/>
      <c r="G167" s="1069"/>
      <c r="H167" s="1070" t="s">
        <v>113</v>
      </c>
      <c r="I167" s="1070"/>
      <c r="J167" s="1069" t="s">
        <v>291</v>
      </c>
      <c r="K167" s="1069"/>
      <c r="L167" s="1070" t="s">
        <v>653</v>
      </c>
      <c r="M167" s="1070"/>
    </row>
    <row r="168" spans="1:29" ht="15.6" thickBot="1" x14ac:dyDescent="0.3">
      <c r="B168" s="78"/>
      <c r="C168" s="79"/>
      <c r="D168" s="79"/>
      <c r="E168" s="79"/>
      <c r="F168" s="79"/>
      <c r="G168" s="79"/>
      <c r="H168" s="79"/>
      <c r="I168" s="79"/>
      <c r="J168" s="79"/>
      <c r="K168" s="79"/>
      <c r="L168" s="79"/>
      <c r="M168" s="79"/>
    </row>
    <row r="169" spans="1:29" ht="13.8" thickBot="1" x14ac:dyDescent="0.3">
      <c r="B169" s="79"/>
      <c r="C169" s="80" t="s">
        <v>654</v>
      </c>
      <c r="D169" s="79"/>
      <c r="E169" s="79"/>
      <c r="F169" s="91">
        <v>10</v>
      </c>
      <c r="G169" s="82" t="s">
        <v>293</v>
      </c>
      <c r="H169" s="93">
        <v>14.5</v>
      </c>
      <c r="I169" s="82" t="s">
        <v>294</v>
      </c>
      <c r="J169" s="92"/>
      <c r="K169" s="82" t="s">
        <v>293</v>
      </c>
      <c r="L169" s="93">
        <v>14.5</v>
      </c>
      <c r="M169" s="82" t="s">
        <v>294</v>
      </c>
    </row>
    <row r="170" spans="1:29" ht="13.8" thickBot="1" x14ac:dyDescent="0.3">
      <c r="B170" s="79"/>
      <c r="C170" s="80" t="s">
        <v>655</v>
      </c>
      <c r="D170" s="79"/>
      <c r="E170" s="79"/>
      <c r="F170" s="91">
        <v>10</v>
      </c>
      <c r="G170" s="82" t="s">
        <v>293</v>
      </c>
      <c r="H170" s="90">
        <f t="shared" ref="H170:H189" si="19">$H$169</f>
        <v>14.5</v>
      </c>
      <c r="I170" s="82" t="s">
        <v>294</v>
      </c>
      <c r="J170" s="92"/>
      <c r="K170" s="82" t="s">
        <v>293</v>
      </c>
      <c r="L170" s="90">
        <f>$L$169</f>
        <v>14.5</v>
      </c>
      <c r="M170" s="82" t="s">
        <v>294</v>
      </c>
    </row>
    <row r="171" spans="1:29" s="5" customFormat="1" ht="13.8" thickBot="1" x14ac:dyDescent="0.3">
      <c r="A171" s="516"/>
      <c r="B171" s="79"/>
      <c r="C171" s="80" t="s">
        <v>656</v>
      </c>
      <c r="D171" s="79"/>
      <c r="E171" s="79"/>
      <c r="F171" s="91">
        <v>8</v>
      </c>
      <c r="G171" s="82" t="s">
        <v>293</v>
      </c>
      <c r="H171" s="90">
        <f t="shared" si="19"/>
        <v>14.5</v>
      </c>
      <c r="I171" s="82" t="s">
        <v>294</v>
      </c>
      <c r="J171" s="92"/>
      <c r="K171" s="82" t="s">
        <v>293</v>
      </c>
      <c r="L171" s="90">
        <f t="shared" ref="L171:L189" si="20">$L$169</f>
        <v>14.5</v>
      </c>
      <c r="M171" s="82" t="s">
        <v>294</v>
      </c>
      <c r="N171"/>
      <c r="O171"/>
      <c r="P171"/>
      <c r="Q171"/>
      <c r="R171"/>
      <c r="S171"/>
      <c r="T171"/>
      <c r="U171"/>
      <c r="AB171"/>
      <c r="AC171"/>
    </row>
    <row r="172" spans="1:29" ht="13.8" thickBot="1" x14ac:dyDescent="0.3">
      <c r="B172" s="79"/>
      <c r="C172" s="80" t="s">
        <v>298</v>
      </c>
      <c r="D172" s="79"/>
      <c r="E172" s="79"/>
      <c r="F172" s="91">
        <v>30</v>
      </c>
      <c r="G172" s="82" t="s">
        <v>293</v>
      </c>
      <c r="H172" s="90">
        <f t="shared" si="19"/>
        <v>14.5</v>
      </c>
      <c r="I172" s="82" t="s">
        <v>294</v>
      </c>
      <c r="J172" s="92">
        <v>32</v>
      </c>
      <c r="K172" s="82" t="s">
        <v>293</v>
      </c>
      <c r="L172" s="90">
        <f t="shared" si="20"/>
        <v>14.5</v>
      </c>
      <c r="M172" s="82" t="s">
        <v>294</v>
      </c>
      <c r="AB172" s="5"/>
      <c r="AC172" s="5"/>
    </row>
    <row r="173" spans="1:29" ht="13.8" thickBot="1" x14ac:dyDescent="0.3">
      <c r="B173" s="79"/>
      <c r="C173" s="80" t="s">
        <v>657</v>
      </c>
      <c r="D173" s="79"/>
      <c r="E173" s="79"/>
      <c r="F173" s="91">
        <v>8</v>
      </c>
      <c r="G173" s="82" t="s">
        <v>293</v>
      </c>
      <c r="H173" s="90">
        <f t="shared" si="19"/>
        <v>14.5</v>
      </c>
      <c r="I173" s="82" t="s">
        <v>294</v>
      </c>
      <c r="J173" s="92"/>
      <c r="K173" s="82" t="s">
        <v>293</v>
      </c>
      <c r="L173" s="90">
        <f t="shared" si="20"/>
        <v>14.5</v>
      </c>
      <c r="M173" s="82" t="s">
        <v>294</v>
      </c>
    </row>
    <row r="174" spans="1:29" ht="13.8" thickBot="1" x14ac:dyDescent="0.3">
      <c r="B174" s="79"/>
      <c r="C174" s="80" t="s">
        <v>658</v>
      </c>
      <c r="D174" s="79"/>
      <c r="E174" s="79"/>
      <c r="F174" s="91">
        <v>16</v>
      </c>
      <c r="G174" s="82" t="s">
        <v>293</v>
      </c>
      <c r="H174" s="90">
        <f t="shared" si="19"/>
        <v>14.5</v>
      </c>
      <c r="I174" s="82" t="s">
        <v>294</v>
      </c>
      <c r="J174" s="92"/>
      <c r="K174" s="82" t="s">
        <v>293</v>
      </c>
      <c r="L174" s="90">
        <f t="shared" si="20"/>
        <v>14.5</v>
      </c>
      <c r="M174" s="82" t="s">
        <v>294</v>
      </c>
    </row>
    <row r="175" spans="1:29" ht="13.8" thickBot="1" x14ac:dyDescent="0.3">
      <c r="B175" s="79"/>
      <c r="C175" s="80" t="s">
        <v>659</v>
      </c>
      <c r="D175" s="79"/>
      <c r="E175" s="79"/>
      <c r="F175" s="91">
        <v>16</v>
      </c>
      <c r="G175" s="82" t="s">
        <v>293</v>
      </c>
      <c r="H175" s="90">
        <f t="shared" si="19"/>
        <v>14.5</v>
      </c>
      <c r="I175" s="82" t="s">
        <v>294</v>
      </c>
      <c r="J175" s="92"/>
      <c r="K175" s="82" t="s">
        <v>293</v>
      </c>
      <c r="L175" s="90">
        <f t="shared" si="20"/>
        <v>14.5</v>
      </c>
      <c r="M175" s="82" t="s">
        <v>294</v>
      </c>
    </row>
    <row r="176" spans="1:29" ht="13.8" thickBot="1" x14ac:dyDescent="0.3">
      <c r="B176" s="79"/>
      <c r="C176" s="80" t="s">
        <v>569</v>
      </c>
      <c r="D176" s="79"/>
      <c r="E176" s="79"/>
      <c r="F176" s="91">
        <v>10</v>
      </c>
      <c r="G176" s="82" t="s">
        <v>293</v>
      </c>
      <c r="H176" s="90">
        <f t="shared" si="19"/>
        <v>14.5</v>
      </c>
      <c r="I176" s="82" t="s">
        <v>294</v>
      </c>
      <c r="J176" s="92">
        <v>80</v>
      </c>
      <c r="K176" s="82" t="s">
        <v>293</v>
      </c>
      <c r="L176" s="90">
        <f t="shared" si="20"/>
        <v>14.5</v>
      </c>
      <c r="M176" s="82" t="s">
        <v>294</v>
      </c>
    </row>
    <row r="177" spans="1:29" ht="13.8" thickBot="1" x14ac:dyDescent="0.3">
      <c r="B177" s="79"/>
      <c r="C177" s="80" t="s">
        <v>571</v>
      </c>
      <c r="D177" s="79"/>
      <c r="E177" s="79"/>
      <c r="F177" s="91"/>
      <c r="G177" s="82" t="s">
        <v>293</v>
      </c>
      <c r="H177" s="90">
        <f t="shared" si="19"/>
        <v>14.5</v>
      </c>
      <c r="I177" s="82" t="s">
        <v>294</v>
      </c>
      <c r="J177" s="92">
        <v>80</v>
      </c>
      <c r="K177" s="82" t="s">
        <v>293</v>
      </c>
      <c r="L177" s="90">
        <f t="shared" si="20"/>
        <v>14.5</v>
      </c>
      <c r="M177" s="82" t="s">
        <v>294</v>
      </c>
    </row>
    <row r="178" spans="1:29" ht="13.8" thickBot="1" x14ac:dyDescent="0.3">
      <c r="B178" s="79"/>
      <c r="C178" s="80" t="s">
        <v>303</v>
      </c>
      <c r="D178" s="79"/>
      <c r="E178" s="79"/>
      <c r="F178" s="91">
        <v>10</v>
      </c>
      <c r="G178" s="82" t="s">
        <v>293</v>
      </c>
      <c r="H178" s="90">
        <f t="shared" si="19"/>
        <v>14.5</v>
      </c>
      <c r="I178" s="82" t="s">
        <v>294</v>
      </c>
      <c r="J178" s="92"/>
      <c r="K178" s="82" t="s">
        <v>293</v>
      </c>
      <c r="L178" s="90">
        <f t="shared" si="20"/>
        <v>14.5</v>
      </c>
      <c r="M178" s="82" t="s">
        <v>294</v>
      </c>
    </row>
    <row r="179" spans="1:29" ht="13.8" thickBot="1" x14ac:dyDescent="0.3">
      <c r="B179" s="79"/>
      <c r="C179" s="80" t="s">
        <v>38</v>
      </c>
      <c r="D179" s="79"/>
      <c r="E179" s="79"/>
      <c r="F179" s="91">
        <v>10</v>
      </c>
      <c r="G179" s="82" t="s">
        <v>293</v>
      </c>
      <c r="H179" s="90">
        <f t="shared" si="19"/>
        <v>14.5</v>
      </c>
      <c r="I179" s="82" t="s">
        <v>294</v>
      </c>
      <c r="J179" s="92">
        <v>30</v>
      </c>
      <c r="K179" s="82" t="s">
        <v>293</v>
      </c>
      <c r="L179" s="90">
        <f t="shared" si="20"/>
        <v>14.5</v>
      </c>
      <c r="M179" s="82" t="s">
        <v>294</v>
      </c>
    </row>
    <row r="180" spans="1:29" ht="13.8" thickBot="1" x14ac:dyDescent="0.3">
      <c r="B180" s="79"/>
      <c r="C180" s="80" t="s">
        <v>38</v>
      </c>
      <c r="D180" s="79"/>
      <c r="E180" s="79"/>
      <c r="F180" s="91"/>
      <c r="G180" s="82" t="s">
        <v>212</v>
      </c>
      <c r="H180" s="546">
        <v>1.5</v>
      </c>
      <c r="I180" s="82" t="s">
        <v>206</v>
      </c>
      <c r="J180" s="92">
        <f>'Gårdens info'!S27</f>
        <v>8000</v>
      </c>
      <c r="K180" s="82" t="s">
        <v>8</v>
      </c>
      <c r="L180" s="546">
        <v>1.5</v>
      </c>
      <c r="M180" s="82" t="s">
        <v>206</v>
      </c>
    </row>
    <row r="181" spans="1:29" ht="13.8" thickBot="1" x14ac:dyDescent="0.3">
      <c r="B181" s="79"/>
      <c r="C181" s="80" t="s">
        <v>660</v>
      </c>
      <c r="D181" s="79"/>
      <c r="E181" s="79"/>
      <c r="F181" s="91">
        <v>20</v>
      </c>
      <c r="G181" s="82" t="s">
        <v>293</v>
      </c>
      <c r="H181" s="90">
        <f t="shared" si="19"/>
        <v>14.5</v>
      </c>
      <c r="I181" s="82" t="s">
        <v>294</v>
      </c>
      <c r="J181" s="92">
        <v>30</v>
      </c>
      <c r="K181" s="82" t="s">
        <v>293</v>
      </c>
      <c r="L181" s="90">
        <f t="shared" si="20"/>
        <v>14.5</v>
      </c>
      <c r="M181" s="82" t="s">
        <v>294</v>
      </c>
    </row>
    <row r="182" spans="1:29" ht="13.8" thickBot="1" x14ac:dyDescent="0.3">
      <c r="B182" s="79"/>
      <c r="C182" s="80" t="s">
        <v>661</v>
      </c>
      <c r="D182" s="79"/>
      <c r="E182" s="79"/>
      <c r="F182" s="91">
        <v>8</v>
      </c>
      <c r="G182" s="82" t="s">
        <v>293</v>
      </c>
      <c r="H182" s="90">
        <f t="shared" si="19"/>
        <v>14.5</v>
      </c>
      <c r="I182" s="82" t="s">
        <v>294</v>
      </c>
      <c r="J182" s="92"/>
      <c r="K182" s="82" t="s">
        <v>293</v>
      </c>
      <c r="L182" s="90">
        <f t="shared" si="20"/>
        <v>14.5</v>
      </c>
      <c r="M182" s="82" t="s">
        <v>294</v>
      </c>
    </row>
    <row r="183" spans="1:29" ht="13.8" thickBot="1" x14ac:dyDescent="0.3">
      <c r="B183" s="79"/>
      <c r="C183" s="80" t="s">
        <v>662</v>
      </c>
      <c r="D183" s="79"/>
      <c r="E183" s="79"/>
      <c r="F183" s="91">
        <v>12</v>
      </c>
      <c r="G183" s="82" t="s">
        <v>293</v>
      </c>
      <c r="H183" s="90">
        <f t="shared" si="19"/>
        <v>14.5</v>
      </c>
      <c r="I183" s="82" t="s">
        <v>294</v>
      </c>
      <c r="J183" s="92"/>
      <c r="K183" s="82" t="s">
        <v>293</v>
      </c>
      <c r="L183" s="90">
        <f t="shared" si="20"/>
        <v>14.5</v>
      </c>
      <c r="M183" s="82" t="s">
        <v>294</v>
      </c>
    </row>
    <row r="184" spans="1:29" ht="13.8" thickBot="1" x14ac:dyDescent="0.3">
      <c r="B184" s="79"/>
      <c r="C184" s="80" t="s">
        <v>503</v>
      </c>
      <c r="D184" s="79"/>
      <c r="E184" s="79"/>
      <c r="F184" s="92">
        <v>42</v>
      </c>
      <c r="G184" s="82" t="s">
        <v>293</v>
      </c>
      <c r="H184" s="90">
        <f t="shared" si="19"/>
        <v>14.5</v>
      </c>
      <c r="I184" s="82" t="s">
        <v>294</v>
      </c>
      <c r="J184" s="92"/>
      <c r="K184" s="82" t="s">
        <v>293</v>
      </c>
      <c r="L184" s="90">
        <f t="shared" si="20"/>
        <v>14.5</v>
      </c>
      <c r="M184" s="82" t="s">
        <v>294</v>
      </c>
    </row>
    <row r="185" spans="1:29" ht="13.8" thickBot="1" x14ac:dyDescent="0.3">
      <c r="B185" s="79"/>
      <c r="C185" s="80" t="s">
        <v>663</v>
      </c>
      <c r="D185" s="79"/>
      <c r="E185" s="79"/>
      <c r="F185" s="92">
        <v>50</v>
      </c>
      <c r="G185" s="82" t="s">
        <v>293</v>
      </c>
      <c r="H185" s="90">
        <f t="shared" si="19"/>
        <v>14.5</v>
      </c>
      <c r="I185" s="82" t="s">
        <v>294</v>
      </c>
      <c r="J185" s="92">
        <v>100</v>
      </c>
      <c r="K185" s="82" t="s">
        <v>293</v>
      </c>
      <c r="L185" s="90">
        <f t="shared" si="20"/>
        <v>14.5</v>
      </c>
      <c r="M185" s="82" t="s">
        <v>294</v>
      </c>
    </row>
    <row r="186" spans="1:29" ht="13.8" thickBot="1" x14ac:dyDescent="0.3">
      <c r="B186" s="79"/>
      <c r="C186" s="80" t="s">
        <v>308</v>
      </c>
      <c r="D186" s="79"/>
      <c r="E186" s="79"/>
      <c r="F186" s="92"/>
      <c r="G186" s="82" t="s">
        <v>293</v>
      </c>
      <c r="H186" s="90">
        <f t="shared" si="19"/>
        <v>14.5</v>
      </c>
      <c r="I186" s="82" t="s">
        <v>294</v>
      </c>
      <c r="J186" s="92"/>
      <c r="K186" s="82" t="s">
        <v>293</v>
      </c>
      <c r="L186" s="90">
        <f t="shared" si="20"/>
        <v>14.5</v>
      </c>
      <c r="M186" s="82" t="s">
        <v>294</v>
      </c>
    </row>
    <row r="187" spans="1:29" s="5" customFormat="1" ht="13.8" thickBot="1" x14ac:dyDescent="0.3">
      <c r="A187" s="516"/>
      <c r="B187" s="79"/>
      <c r="C187" s="80" t="s">
        <v>308</v>
      </c>
      <c r="D187" s="79"/>
      <c r="E187" s="79"/>
      <c r="F187" s="92"/>
      <c r="G187" s="82" t="s">
        <v>293</v>
      </c>
      <c r="H187" s="90">
        <f t="shared" si="19"/>
        <v>14.5</v>
      </c>
      <c r="I187" s="82" t="s">
        <v>294</v>
      </c>
      <c r="J187" s="75"/>
      <c r="K187" s="82" t="s">
        <v>293</v>
      </c>
      <c r="L187" s="90">
        <f t="shared" si="20"/>
        <v>14.5</v>
      </c>
      <c r="M187" s="82" t="s">
        <v>294</v>
      </c>
      <c r="N187"/>
      <c r="O187"/>
      <c r="P187"/>
      <c r="Q187"/>
      <c r="R187"/>
      <c r="S187"/>
      <c r="T187"/>
      <c r="U187"/>
      <c r="AB187"/>
      <c r="AC187"/>
    </row>
    <row r="188" spans="1:29" ht="13.8" thickBot="1" x14ac:dyDescent="0.3">
      <c r="B188" s="79"/>
      <c r="C188" s="80" t="s">
        <v>308</v>
      </c>
      <c r="D188" s="79"/>
      <c r="E188" s="79"/>
      <c r="F188" s="92"/>
      <c r="G188" s="82" t="s">
        <v>293</v>
      </c>
      <c r="H188" s="90">
        <f t="shared" si="19"/>
        <v>14.5</v>
      </c>
      <c r="I188" s="82" t="s">
        <v>294</v>
      </c>
      <c r="J188" s="75"/>
      <c r="K188" s="82" t="s">
        <v>293</v>
      </c>
      <c r="L188" s="90">
        <f t="shared" si="20"/>
        <v>14.5</v>
      </c>
      <c r="M188" s="82" t="s">
        <v>294</v>
      </c>
      <c r="AB188" s="5"/>
      <c r="AC188" s="5"/>
    </row>
    <row r="189" spans="1:29" ht="13.8" thickBot="1" x14ac:dyDescent="0.3">
      <c r="B189" s="79"/>
      <c r="C189" s="80" t="s">
        <v>308</v>
      </c>
      <c r="D189" s="81"/>
      <c r="E189" s="81"/>
      <c r="F189" s="75"/>
      <c r="G189" s="82" t="s">
        <v>293</v>
      </c>
      <c r="H189" s="90">
        <f t="shared" si="19"/>
        <v>14.5</v>
      </c>
      <c r="I189" s="82" t="s">
        <v>294</v>
      </c>
      <c r="J189" s="75"/>
      <c r="K189" s="82" t="s">
        <v>293</v>
      </c>
      <c r="L189" s="90">
        <f t="shared" si="20"/>
        <v>14.5</v>
      </c>
      <c r="M189" s="82" t="s">
        <v>294</v>
      </c>
    </row>
    <row r="190" spans="1:29" ht="16.2" customHeight="1" x14ac:dyDescent="0.25">
      <c r="B190" s="209"/>
      <c r="C190" s="210" t="s">
        <v>54</v>
      </c>
      <c r="D190" s="211"/>
      <c r="E190" s="211"/>
      <c r="F190" s="212">
        <f>SUM(F169:F179)+SUM(F181:F189)</f>
        <v>260</v>
      </c>
      <c r="G190" s="209" t="s">
        <v>293</v>
      </c>
      <c r="H190" s="213">
        <f>F190*H169+F180*H180</f>
        <v>3770</v>
      </c>
      <c r="I190" s="209" t="s">
        <v>57</v>
      </c>
      <c r="J190" s="212">
        <f>SUM(J169:J179)+SUM(J181:J189)</f>
        <v>352</v>
      </c>
      <c r="K190" s="209" t="s">
        <v>293</v>
      </c>
      <c r="L190" s="213">
        <f>J190*L169+J180*L180</f>
        <v>17104</v>
      </c>
      <c r="M190" s="209" t="s">
        <v>57</v>
      </c>
      <c r="N190" s="5"/>
      <c r="O190" s="5"/>
      <c r="P190" s="5"/>
      <c r="Q190" s="5"/>
      <c r="R190" s="5"/>
      <c r="S190" s="5"/>
      <c r="T190" s="5"/>
      <c r="U190" s="5"/>
    </row>
    <row r="194" spans="1:29" ht="17.399999999999999" x14ac:dyDescent="0.3">
      <c r="C194" s="56"/>
    </row>
    <row r="195" spans="1:29" s="5" customFormat="1" ht="17.399999999999999" x14ac:dyDescent="0.3">
      <c r="A195" s="516"/>
      <c r="B195"/>
      <c r="C195" s="56"/>
      <c r="D195"/>
      <c r="E195"/>
      <c r="F195"/>
      <c r="G195"/>
      <c r="H195"/>
      <c r="I195"/>
      <c r="J195"/>
      <c r="K195"/>
      <c r="L195"/>
      <c r="M195"/>
      <c r="N195"/>
      <c r="O195"/>
      <c r="P195"/>
      <c r="Q195"/>
      <c r="R195"/>
      <c r="S195"/>
      <c r="T195"/>
      <c r="U195"/>
      <c r="AB195"/>
      <c r="AC195"/>
    </row>
    <row r="196" spans="1:29" ht="17.399999999999999" x14ac:dyDescent="0.3">
      <c r="C196" s="56"/>
      <c r="AB196" s="5"/>
      <c r="AC196" s="5"/>
    </row>
    <row r="197" spans="1:29" ht="37.200000000000003" customHeight="1" x14ac:dyDescent="0.3">
      <c r="C197" s="56"/>
    </row>
    <row r="198" spans="1:29" ht="17.399999999999999" x14ac:dyDescent="0.3">
      <c r="C198" s="56"/>
      <c r="N198" s="5"/>
      <c r="O198" s="5"/>
      <c r="P198" s="5"/>
      <c r="Q198" s="5"/>
      <c r="R198" s="5"/>
      <c r="S198" s="5"/>
      <c r="T198" s="5"/>
      <c r="U198" s="5"/>
    </row>
    <row r="199" spans="1:29" ht="17.399999999999999" x14ac:dyDescent="0.3">
      <c r="C199" s="56"/>
    </row>
    <row r="200" spans="1:29" ht="17.399999999999999" x14ac:dyDescent="0.3">
      <c r="C200" s="56"/>
    </row>
    <row r="201" spans="1:29" ht="17.399999999999999" x14ac:dyDescent="0.3">
      <c r="C201" s="56"/>
    </row>
    <row r="202" spans="1:29" ht="17.399999999999999" x14ac:dyDescent="0.3">
      <c r="C202" s="56"/>
    </row>
    <row r="203" spans="1:29" s="5" customFormat="1" ht="17.399999999999999" x14ac:dyDescent="0.3">
      <c r="A203" s="516"/>
      <c r="B203"/>
      <c r="C203" s="56"/>
      <c r="D203"/>
      <c r="E203"/>
      <c r="F203"/>
      <c r="G203"/>
      <c r="H203"/>
      <c r="I203"/>
      <c r="J203"/>
      <c r="K203"/>
      <c r="L203"/>
      <c r="M203"/>
      <c r="N203"/>
      <c r="O203"/>
      <c r="P203"/>
      <c r="Q203"/>
      <c r="R203"/>
      <c r="S203"/>
      <c r="T203"/>
      <c r="U203"/>
      <c r="AB203"/>
      <c r="AC203"/>
    </row>
    <row r="204" spans="1:29" ht="17.399999999999999" x14ac:dyDescent="0.3">
      <c r="C204" s="56"/>
      <c r="AB204" s="5"/>
      <c r="AC204" s="5"/>
    </row>
    <row r="205" spans="1:29" ht="33" customHeight="1" x14ac:dyDescent="0.3">
      <c r="C205" s="56"/>
    </row>
    <row r="206" spans="1:29" ht="17.399999999999999" x14ac:dyDescent="0.3">
      <c r="C206" s="56"/>
      <c r="N206" s="5"/>
      <c r="O206" s="5"/>
      <c r="P206" s="5"/>
      <c r="Q206" s="5"/>
      <c r="R206" s="5"/>
      <c r="S206" s="5"/>
      <c r="T206" s="5"/>
      <c r="U206" s="5"/>
    </row>
    <row r="207" spans="1:29" ht="17.399999999999999" x14ac:dyDescent="0.3">
      <c r="C207" s="56"/>
    </row>
    <row r="208" spans="1:29" ht="17.399999999999999" x14ac:dyDescent="0.3">
      <c r="C208" s="56"/>
    </row>
    <row r="209" spans="1:29" ht="17.399999999999999" x14ac:dyDescent="0.3">
      <c r="C209" s="56"/>
    </row>
    <row r="210" spans="1:29" ht="17.399999999999999" x14ac:dyDescent="0.3">
      <c r="C210" s="56"/>
    </row>
    <row r="211" spans="1:29" ht="17.399999999999999" x14ac:dyDescent="0.3">
      <c r="C211" s="56"/>
    </row>
    <row r="212" spans="1:29" ht="17.399999999999999" x14ac:dyDescent="0.3">
      <c r="C212" s="56"/>
    </row>
    <row r="213" spans="1:29" s="5" customFormat="1" ht="17.399999999999999" x14ac:dyDescent="0.3">
      <c r="A213" s="516"/>
      <c r="B213"/>
      <c r="C213" s="56"/>
      <c r="D213"/>
      <c r="E213"/>
      <c r="F213"/>
      <c r="G213"/>
      <c r="H213"/>
      <c r="I213"/>
      <c r="J213"/>
      <c r="K213"/>
      <c r="L213"/>
      <c r="M213"/>
      <c r="N213"/>
      <c r="O213"/>
      <c r="P213"/>
      <c r="Q213"/>
      <c r="R213"/>
      <c r="S213"/>
      <c r="T213"/>
      <c r="U213"/>
      <c r="AB213"/>
      <c r="AC213"/>
    </row>
    <row r="214" spans="1:29" ht="17.399999999999999" x14ac:dyDescent="0.3">
      <c r="C214" s="56"/>
      <c r="AB214" s="5"/>
      <c r="AC214" s="5"/>
    </row>
    <row r="215" spans="1:29" ht="17.399999999999999" x14ac:dyDescent="0.3">
      <c r="C215" s="56"/>
    </row>
    <row r="216" spans="1:29" x14ac:dyDescent="0.25">
      <c r="N216" s="5"/>
      <c r="O216" s="5"/>
      <c r="P216" s="5"/>
      <c r="Q216" s="5"/>
      <c r="R216" s="5"/>
      <c r="S216" s="5"/>
      <c r="T216" s="5"/>
      <c r="U216" s="5"/>
    </row>
    <row r="218" spans="1:29" ht="46.95" customHeight="1" x14ac:dyDescent="0.25"/>
    <row r="240" spans="1:29" s="5" customFormat="1" x14ac:dyDescent="0.25">
      <c r="A240" s="516"/>
      <c r="B240"/>
      <c r="C240"/>
      <c r="D240"/>
      <c r="E240"/>
      <c r="F240"/>
      <c r="G240"/>
      <c r="H240"/>
      <c r="I240"/>
      <c r="J240"/>
      <c r="K240"/>
      <c r="L240"/>
      <c r="M240"/>
      <c r="N240"/>
      <c r="O240"/>
      <c r="P240"/>
      <c r="Q240"/>
      <c r="R240"/>
      <c r="S240"/>
      <c r="T240"/>
      <c r="U240"/>
      <c r="AB240"/>
      <c r="AC240"/>
    </row>
    <row r="241" spans="28:29" ht="58.2" customHeight="1" x14ac:dyDescent="0.25">
      <c r="AB241" s="5"/>
      <c r="AC241" s="5"/>
    </row>
  </sheetData>
  <mergeCells count="49">
    <mergeCell ref="F145:G145"/>
    <mergeCell ref="H145:I145"/>
    <mergeCell ref="J145:K145"/>
    <mergeCell ref="E167:G167"/>
    <mergeCell ref="H167:I167"/>
    <mergeCell ref="J167:K167"/>
    <mergeCell ref="L167:M167"/>
    <mergeCell ref="B165:M166"/>
    <mergeCell ref="L70:M70"/>
    <mergeCell ref="J124:K124"/>
    <mergeCell ref="F137:G137"/>
    <mergeCell ref="H137:I137"/>
    <mergeCell ref="J137:K137"/>
    <mergeCell ref="F80:G80"/>
    <mergeCell ref="H80:I80"/>
    <mergeCell ref="J80:K80"/>
    <mergeCell ref="F97:G97"/>
    <mergeCell ref="H97:I97"/>
    <mergeCell ref="J97:K97"/>
    <mergeCell ref="F124:G124"/>
    <mergeCell ref="H124:I124"/>
    <mergeCell ref="F116:G116"/>
    <mergeCell ref="O9:Q9"/>
    <mergeCell ref="T9:U9"/>
    <mergeCell ref="O18:Q18"/>
    <mergeCell ref="B28:E28"/>
    <mergeCell ref="B29:D29"/>
    <mergeCell ref="B15:D15"/>
    <mergeCell ref="B53:C53"/>
    <mergeCell ref="C56:D56"/>
    <mergeCell ref="B58:D58"/>
    <mergeCell ref="B2:C2"/>
    <mergeCell ref="B4:L4"/>
    <mergeCell ref="B11:D11"/>
    <mergeCell ref="B46:D46"/>
    <mergeCell ref="C49:D49"/>
    <mergeCell ref="B27:E27"/>
    <mergeCell ref="B32:C32"/>
    <mergeCell ref="C35:D35"/>
    <mergeCell ref="B39:D39"/>
    <mergeCell ref="C42:D42"/>
    <mergeCell ref="B66:D66"/>
    <mergeCell ref="H116:I116"/>
    <mergeCell ref="J116:K116"/>
    <mergeCell ref="F72:G72"/>
    <mergeCell ref="H72:I72"/>
    <mergeCell ref="J72:K72"/>
    <mergeCell ref="B68:D68"/>
    <mergeCell ref="B70:E70"/>
  </mergeCells>
  <hyperlinks>
    <hyperlink ref="B2" location="Tilakokonaisuus!A1" display="PALAA ETUSIVULLE" xr:uid="{38F5EFD5-A3C9-DE41-9634-6F664F939960}"/>
    <hyperlink ref="B2:C2" location="'Gårdens info'!A1" display="TILL FRAMSIDAN" xr:uid="{C968036C-026C-E946-85A3-E71AD5461909}"/>
    <hyperlink ref="B15" location="'Jordgubbe friland'!B180" display="ETABLERINGSÅRETS KOSTNADER" xr:uid="{88EDE566-150C-3C42-A0D6-7664F8DF18B1}"/>
    <hyperlink ref="B27:E27" location="'Gårdens info'!C97" display="ALMÄNNA KOSTNADER, jordgubbens andel" xr:uid="{73694EC1-8C2E-864A-BE66-27ABE3016DF6}"/>
    <hyperlink ref="B32:C32" location="Omaisuus!B15" display="RAKENNUKSET" xr:uid="{49AE4B8A-27B6-3D48-B646-A9A7F7CF249C}"/>
    <hyperlink ref="B39:D39" location="Omaisuus!B28" display="KONEET JA KALUSTO" xr:uid="{14E8F043-2EFF-834F-93F5-FB4774DD71ED}"/>
    <hyperlink ref="B46:D46" location="Omaisuus!B51" display="PIDEMPIAIKAISET TUOTANTOVÄLINEET" xr:uid="{D94FB5F7-95C1-E440-90D5-295B4E6F0502}"/>
    <hyperlink ref="B53:C53" location="Omaisuus!B70" display="SALAOJAT" xr:uid="{CAD97810-FCDC-AD4E-8E17-CC36C6369F79}"/>
    <hyperlink ref="L70" location="'Avomaan mansikka'!B2" display="PALAA SIVUN YLÄLAITAAN" xr:uid="{F8FD500C-B7AC-9D46-96B2-0A3C9545F261}"/>
    <hyperlink ref="L70:M70" location="'Jordgubbe tunnel'!A1" display="TILL BÖRJAN AV SIDAN" xr:uid="{6BC21877-5B24-1240-8C02-3E5BCB49C88E}"/>
    <hyperlink ref="B15:D15" location="'Jordgubbe friland'!B103" display="ETABLERINGSÅRETS KOSTNADER" xr:uid="{E8CC0D24-DE85-46AC-BD57-A6805E89F869}"/>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29D0E-EE6D-5D46-BD01-606309E67FB7}">
  <sheetPr>
    <tabColor theme="9" tint="0.59999389629810485"/>
  </sheetPr>
  <dimension ref="A1:Z342"/>
  <sheetViews>
    <sheetView zoomScale="84" zoomScaleNormal="100" workbookViewId="0">
      <selection activeCell="B5" sqref="B5"/>
    </sheetView>
  </sheetViews>
  <sheetFormatPr defaultColWidth="11.44140625" defaultRowHeight="13.2" x14ac:dyDescent="0.25"/>
  <cols>
    <col min="1" max="1" width="5.33203125" style="313" customWidth="1"/>
    <col min="3" max="3" width="16.6640625" customWidth="1"/>
    <col min="4" max="4" width="22.6640625" customWidth="1"/>
    <col min="5" max="5" width="12.109375" bestFit="1" customWidth="1"/>
    <col min="6" max="6" width="14" bestFit="1" customWidth="1"/>
    <col min="7" max="7" width="6.33203125" customWidth="1"/>
    <col min="9" max="9" width="6" customWidth="1"/>
    <col min="10" max="10" width="15.109375" customWidth="1"/>
    <col min="11" max="11" width="9.6640625" customWidth="1"/>
    <col min="12" max="12" width="20" customWidth="1"/>
    <col min="13" max="13" width="12.109375" customWidth="1"/>
    <col min="27" max="27" width="19" customWidth="1"/>
  </cols>
  <sheetData>
    <row r="1" spans="1:21" s="313" customFormat="1" ht="22.8" x14ac:dyDescent="0.4">
      <c r="B1" s="320" t="s">
        <v>41</v>
      </c>
    </row>
    <row r="2" spans="1:21" ht="27" customHeight="1" x14ac:dyDescent="0.3">
      <c r="B2" s="1094" t="s">
        <v>201</v>
      </c>
      <c r="C2" s="1094"/>
    </row>
    <row r="3" spans="1:21" ht="27" customHeight="1" x14ac:dyDescent="0.3">
      <c r="B3" s="189"/>
      <c r="C3" s="189"/>
    </row>
    <row r="4" spans="1:21" ht="139.94999999999999" customHeight="1" x14ac:dyDescent="0.3">
      <c r="B4" s="1098" t="s">
        <v>548</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664</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16.2" thickBot="1" x14ac:dyDescent="0.35">
      <c r="B9" s="227"/>
      <c r="C9" s="228" t="s">
        <v>205</v>
      </c>
      <c r="D9" s="119"/>
      <c r="E9" s="119"/>
      <c r="F9" s="229">
        <f>IF('Gårdens info'!D30&gt;0,H9*'Gårdens info'!G30,0)</f>
        <v>0</v>
      </c>
      <c r="G9" s="119" t="s">
        <v>57</v>
      </c>
      <c r="H9" s="508">
        <f>IF('Gårdens info'!G30&gt;0,(('Gårdens info'!G30*S10*T10)+('Gårdens info'!G30*S11*T11)+('Gårdens info'!G30*S12*T12)+('Gårdens info'!G30*S13*T13)+('Gårdens info'!G30*S14*T14)+('Gårdens info'!G30*S15*T15)+('Gårdens info'!G30*S16*T16)+('Gårdens info'!G30*S17*T17))/(('Gårdens info'!G30)),0)</f>
        <v>9.74</v>
      </c>
      <c r="I9" s="119" t="s">
        <v>206</v>
      </c>
      <c r="J9" s="229">
        <f>F9*'Gårdens info'!D30</f>
        <v>0</v>
      </c>
      <c r="K9" s="119" t="s">
        <v>665</v>
      </c>
      <c r="L9" s="119"/>
      <c r="M9" s="226"/>
      <c r="N9" s="369"/>
      <c r="O9" s="230" t="s">
        <v>208</v>
      </c>
      <c r="P9" s="230"/>
      <c r="Q9" s="1145" t="s">
        <v>209</v>
      </c>
      <c r="R9" s="1145"/>
      <c r="S9" s="1145"/>
      <c r="T9" s="1086" t="s">
        <v>210</v>
      </c>
      <c r="U9" s="1087"/>
    </row>
    <row r="10" spans="1:21" ht="15.6" thickBot="1" x14ac:dyDescent="0.3">
      <c r="B10" s="227"/>
      <c r="C10" s="119" t="s">
        <v>211</v>
      </c>
      <c r="D10" s="119"/>
      <c r="E10" s="119"/>
      <c r="F10" s="229">
        <f>IF('Gårdens info'!D30&gt;0,Stöd!L15,0)</f>
        <v>0</v>
      </c>
      <c r="G10" s="119" t="s">
        <v>57</v>
      </c>
      <c r="H10" s="508">
        <f>IF('Gårdens info'!G30&gt;0,F10/'Gårdens info'!G30,0)</f>
        <v>0</v>
      </c>
      <c r="I10" s="119" t="s">
        <v>206</v>
      </c>
      <c r="J10" s="229">
        <f>F10*'Gårdens info'!D30</f>
        <v>0</v>
      </c>
      <c r="K10" s="119" t="s">
        <v>665</v>
      </c>
      <c r="L10" s="119"/>
      <c r="M10" s="226"/>
      <c r="N10" s="369"/>
      <c r="O10" s="119">
        <v>1</v>
      </c>
      <c r="P10" s="119" t="s">
        <v>212</v>
      </c>
      <c r="Q10" s="119" t="s">
        <v>556</v>
      </c>
      <c r="R10" s="119"/>
      <c r="S10" s="377">
        <v>0.2</v>
      </c>
      <c r="T10" s="255">
        <v>10.199999999999999</v>
      </c>
      <c r="U10" s="239" t="s">
        <v>206</v>
      </c>
    </row>
    <row r="11" spans="1:21" s="5" customFormat="1" ht="21.6" customHeight="1" thickBot="1" x14ac:dyDescent="0.45">
      <c r="A11" s="314"/>
      <c r="B11" s="1061" t="s">
        <v>214</v>
      </c>
      <c r="C11" s="1043"/>
      <c r="D11" s="1043"/>
      <c r="E11" s="262"/>
      <c r="F11" s="266">
        <f>F9+F10</f>
        <v>0</v>
      </c>
      <c r="G11" s="267" t="s">
        <v>57</v>
      </c>
      <c r="H11" s="507">
        <f>H9+H10</f>
        <v>9.74</v>
      </c>
      <c r="I11" s="267" t="s">
        <v>206</v>
      </c>
      <c r="J11" s="269">
        <f>J9+J10</f>
        <v>0</v>
      </c>
      <c r="K11" s="267" t="s">
        <v>665</v>
      </c>
      <c r="L11" s="267"/>
      <c r="M11" s="259"/>
      <c r="N11" s="370"/>
      <c r="O11" s="119">
        <v>3</v>
      </c>
      <c r="P11" s="119" t="s">
        <v>212</v>
      </c>
      <c r="Q11" s="119" t="s">
        <v>558</v>
      </c>
      <c r="R11" s="119"/>
      <c r="S11" s="379">
        <v>0</v>
      </c>
      <c r="T11" s="255"/>
      <c r="U11" s="239" t="s">
        <v>206</v>
      </c>
    </row>
    <row r="12" spans="1:21" ht="19.2" customHeight="1" thickBot="1" x14ac:dyDescent="0.35">
      <c r="B12" s="231"/>
      <c r="C12" s="225"/>
      <c r="D12" s="116"/>
      <c r="E12" s="116"/>
      <c r="F12" s="116"/>
      <c r="G12" s="116"/>
      <c r="H12" s="116"/>
      <c r="I12" s="116"/>
      <c r="J12" s="232"/>
      <c r="K12" s="116"/>
      <c r="L12" s="116"/>
      <c r="M12" s="226"/>
      <c r="N12" s="370"/>
      <c r="O12" s="119">
        <v>5</v>
      </c>
      <c r="P12" s="119" t="s">
        <v>212</v>
      </c>
      <c r="Q12" s="119" t="s">
        <v>558</v>
      </c>
      <c r="R12" s="119"/>
      <c r="S12" s="379">
        <v>0.7</v>
      </c>
      <c r="T12" s="255">
        <v>11</v>
      </c>
      <c r="U12" s="239" t="s">
        <v>206</v>
      </c>
    </row>
    <row r="13" spans="1:21" ht="21.6" thickBot="1" x14ac:dyDescent="0.45">
      <c r="B13" s="257" t="s">
        <v>186</v>
      </c>
      <c r="C13" s="225"/>
      <c r="D13" s="116"/>
      <c r="E13" s="116"/>
      <c r="F13" s="116"/>
      <c r="G13" s="116"/>
      <c r="H13" s="116"/>
      <c r="I13" s="116"/>
      <c r="J13" s="232"/>
      <c r="K13" s="116"/>
      <c r="L13" s="116"/>
      <c r="M13" s="226"/>
      <c r="N13" s="369"/>
      <c r="O13" s="119">
        <v>0.5</v>
      </c>
      <c r="P13" s="119" t="s">
        <v>212</v>
      </c>
      <c r="Q13" s="119" t="s">
        <v>561</v>
      </c>
      <c r="R13" s="119"/>
      <c r="S13" s="379">
        <v>0.1</v>
      </c>
      <c r="T13" s="255"/>
      <c r="U13" s="239" t="s">
        <v>206</v>
      </c>
    </row>
    <row r="14" spans="1:21" s="56" customFormat="1" ht="18" thickBot="1" x14ac:dyDescent="0.35">
      <c r="A14" s="315"/>
      <c r="B14" s="1141" t="s">
        <v>564</v>
      </c>
      <c r="C14" s="1142"/>
      <c r="D14" s="1142"/>
      <c r="E14" s="701"/>
      <c r="F14" s="701"/>
      <c r="G14" s="701"/>
      <c r="H14" s="701"/>
      <c r="I14" s="701"/>
      <c r="J14" s="702"/>
      <c r="K14" s="701"/>
      <c r="L14" s="701"/>
      <c r="M14" s="234"/>
      <c r="N14" s="369"/>
      <c r="O14" s="119">
        <v>0.25</v>
      </c>
      <c r="P14" s="119" t="s">
        <v>212</v>
      </c>
      <c r="Q14" s="119" t="s">
        <v>561</v>
      </c>
      <c r="R14" s="119"/>
      <c r="S14" s="379">
        <v>0</v>
      </c>
      <c r="T14" s="255"/>
      <c r="U14" s="239" t="s">
        <v>206</v>
      </c>
    </row>
    <row r="15" spans="1:21" s="69" customFormat="1" ht="15.6" thickBot="1" x14ac:dyDescent="0.3">
      <c r="A15" s="316"/>
      <c r="B15" s="703"/>
      <c r="C15" s="704" t="s">
        <v>566</v>
      </c>
      <c r="D15" s="705"/>
      <c r="E15" s="705"/>
      <c r="F15" s="706">
        <f>IF('Gårdens info'!$D$30&gt;0,J111/'Gårdens info'!$I$30,0)</f>
        <v>0</v>
      </c>
      <c r="G15" s="705" t="s">
        <v>57</v>
      </c>
      <c r="H15" s="729">
        <f>IF('Gårdens info'!$G$30&gt;0,F15/'Gårdens info'!$G$30,0)</f>
        <v>0</v>
      </c>
      <c r="I15" s="705" t="s">
        <v>206</v>
      </c>
      <c r="J15" s="706">
        <f>F15*'Gårdens info'!$D$30</f>
        <v>0</v>
      </c>
      <c r="K15" s="705" t="s">
        <v>665</v>
      </c>
      <c r="L15" s="705"/>
      <c r="M15" s="239"/>
      <c r="N15" s="369"/>
      <c r="O15" s="651">
        <f>D223</f>
        <v>0</v>
      </c>
      <c r="P15" s="119" t="s">
        <v>212</v>
      </c>
      <c r="Q15" s="298" t="s">
        <v>511</v>
      </c>
      <c r="R15" s="119"/>
      <c r="S15" s="379">
        <v>0</v>
      </c>
      <c r="T15" s="255"/>
      <c r="U15" s="239" t="s">
        <v>206</v>
      </c>
    </row>
    <row r="16" spans="1:21" s="69" customFormat="1" ht="15.6" thickBot="1" x14ac:dyDescent="0.3">
      <c r="A16" s="316"/>
      <c r="B16" s="703"/>
      <c r="C16" s="704" t="s">
        <v>219</v>
      </c>
      <c r="D16" s="705"/>
      <c r="E16" s="705"/>
      <c r="F16" s="706">
        <f>IF('Gårdens info'!$D$30&gt;0,J120/'Gårdens info'!$I$30,0)</f>
        <v>0</v>
      </c>
      <c r="G16" s="705" t="s">
        <v>57</v>
      </c>
      <c r="H16" s="729">
        <f>IF('Gårdens info'!$G$30&gt;0,F16/'Gårdens info'!$G$30,0)</f>
        <v>0</v>
      </c>
      <c r="I16" s="705" t="s">
        <v>206</v>
      </c>
      <c r="J16" s="706">
        <f>F16*'Gårdens info'!$D$30</f>
        <v>0</v>
      </c>
      <c r="K16" s="705" t="s">
        <v>665</v>
      </c>
      <c r="L16" s="705"/>
      <c r="M16" s="239"/>
      <c r="N16" s="369"/>
      <c r="O16" s="651">
        <f t="shared" ref="O16:O17" si="0">D224</f>
        <v>0</v>
      </c>
      <c r="P16" s="119" t="s">
        <v>212</v>
      </c>
      <c r="Q16" s="298" t="s">
        <v>511</v>
      </c>
      <c r="R16" s="119"/>
      <c r="S16" s="378">
        <v>0</v>
      </c>
      <c r="T16" s="255"/>
      <c r="U16" s="239" t="s">
        <v>206</v>
      </c>
    </row>
    <row r="17" spans="1:26" s="69" customFormat="1" ht="15.6" thickBot="1" x14ac:dyDescent="0.3">
      <c r="A17" s="316"/>
      <c r="B17" s="703"/>
      <c r="C17" s="704" t="s">
        <v>220</v>
      </c>
      <c r="D17" s="705"/>
      <c r="E17" s="705"/>
      <c r="F17" s="706">
        <f>IF('Gårdens info'!$D$30&gt;0,J134/'Gårdens info'!$I$30,0)</f>
        <v>0</v>
      </c>
      <c r="G17" s="705" t="s">
        <v>57</v>
      </c>
      <c r="H17" s="729">
        <f>IF('Gårdens info'!$G$30&gt;0,F17/'Gårdens info'!$G$30,0)</f>
        <v>0</v>
      </c>
      <c r="I17" s="705" t="s">
        <v>206</v>
      </c>
      <c r="J17" s="706">
        <f>F17*'Gårdens info'!$D$30</f>
        <v>0</v>
      </c>
      <c r="K17" s="705" t="s">
        <v>665</v>
      </c>
      <c r="L17" s="705"/>
      <c r="M17" s="239"/>
      <c r="N17" s="369"/>
      <c r="O17" s="651">
        <f t="shared" si="0"/>
        <v>0</v>
      </c>
      <c r="P17" s="119" t="s">
        <v>212</v>
      </c>
      <c r="Q17" s="298" t="s">
        <v>511</v>
      </c>
      <c r="R17" s="119"/>
      <c r="S17" s="378">
        <v>0</v>
      </c>
      <c r="T17" s="255"/>
      <c r="U17" s="239" t="s">
        <v>206</v>
      </c>
    </row>
    <row r="18" spans="1:26" s="69" customFormat="1" ht="17.399999999999999" x14ac:dyDescent="0.3">
      <c r="A18" s="316"/>
      <c r="B18" s="703"/>
      <c r="C18" s="704" t="s">
        <v>568</v>
      </c>
      <c r="D18" s="705"/>
      <c r="E18" s="705"/>
      <c r="F18" s="706">
        <f>IF('Gårdens info'!$D$30&gt;0,J142/'Gårdens info'!$I$30,0)</f>
        <v>0</v>
      </c>
      <c r="G18" s="705" t="s">
        <v>57</v>
      </c>
      <c r="H18" s="729">
        <f>IF('Gårdens info'!$G$30&gt;0,F18/'Gårdens info'!$G$30,0)</f>
        <v>0</v>
      </c>
      <c r="I18" s="705" t="s">
        <v>206</v>
      </c>
      <c r="J18" s="706">
        <f>F18*'Gårdens info'!$D$30</f>
        <v>0</v>
      </c>
      <c r="K18" s="705" t="s">
        <v>665</v>
      </c>
      <c r="L18" s="705"/>
      <c r="M18" s="239"/>
      <c r="N18" s="371"/>
      <c r="O18" s="1088" t="s">
        <v>54</v>
      </c>
      <c r="P18" s="1088"/>
      <c r="Q18" s="1088"/>
      <c r="R18" s="120"/>
      <c r="S18" s="375">
        <f>SUM(S10:S17)</f>
        <v>0.99999999999999989</v>
      </c>
      <c r="T18" s="120"/>
      <c r="U18" s="234"/>
    </row>
    <row r="19" spans="1:26" s="69" customFormat="1" ht="15.6" x14ac:dyDescent="0.3">
      <c r="A19" s="316"/>
      <c r="B19" s="703"/>
      <c r="C19" s="704" t="s">
        <v>224</v>
      </c>
      <c r="D19" s="705"/>
      <c r="E19" s="705"/>
      <c r="F19" s="706">
        <f>IF('Gårdens info'!$D$30&gt;0,J154/'Gårdens info'!$I$30,0)</f>
        <v>0</v>
      </c>
      <c r="G19" s="705" t="s">
        <v>57</v>
      </c>
      <c r="H19" s="729">
        <f>IF('Gårdens info'!$G$30&gt;0,F19/'Gårdens info'!$G$30,0)</f>
        <v>0</v>
      </c>
      <c r="I19" s="705" t="s">
        <v>206</v>
      </c>
      <c r="J19" s="706">
        <f>F19*'Gårdens info'!$D$30</f>
        <v>0</v>
      </c>
      <c r="K19" s="705" t="s">
        <v>665</v>
      </c>
      <c r="L19" s="705"/>
      <c r="M19" s="239"/>
      <c r="N19" s="227"/>
      <c r="O19" s="376" t="str">
        <f>IF(S18=100%," ","HUOM! Osuus myyynneistä pitää summautua 100 prosenttiin")</f>
        <v xml:space="preserve"> </v>
      </c>
      <c r="P19" s="119"/>
      <c r="R19" s="119"/>
      <c r="S19" s="119"/>
      <c r="T19" s="119"/>
      <c r="U19" s="239"/>
    </row>
    <row r="20" spans="1:26" s="69" customFormat="1" ht="15.6" thickBot="1" x14ac:dyDescent="0.3">
      <c r="A20" s="316"/>
      <c r="B20" s="703"/>
      <c r="C20" s="704" t="s">
        <v>570</v>
      </c>
      <c r="D20" s="705"/>
      <c r="E20" s="705"/>
      <c r="F20" s="706">
        <f>IF('Gårdens info'!$D$30&gt;0,L178/'Gårdens info'!$I$30,0)</f>
        <v>0</v>
      </c>
      <c r="G20" s="705" t="s">
        <v>57</v>
      </c>
      <c r="H20" s="729">
        <f>IF('Gårdens info'!$G$30&gt;0,F20/'Gårdens info'!$G$30,0)</f>
        <v>0</v>
      </c>
      <c r="I20" s="705" t="s">
        <v>206</v>
      </c>
      <c r="J20" s="706">
        <f>F20*'Gårdens info'!$D$30</f>
        <v>0</v>
      </c>
      <c r="K20" s="705" t="s">
        <v>665</v>
      </c>
      <c r="L20" s="705"/>
      <c r="M20" s="239"/>
      <c r="N20" s="372"/>
      <c r="O20" s="373"/>
      <c r="P20" s="373"/>
      <c r="Q20" s="373"/>
      <c r="R20" s="373"/>
      <c r="S20" s="373"/>
      <c r="T20" s="373"/>
      <c r="U20" s="374"/>
    </row>
    <row r="21" spans="1:26" s="69" customFormat="1" ht="15.6" x14ac:dyDescent="0.3">
      <c r="A21" s="316"/>
      <c r="B21" s="703"/>
      <c r="C21" s="708" t="s">
        <v>54</v>
      </c>
      <c r="D21" s="709"/>
      <c r="E21" s="709"/>
      <c r="F21" s="710">
        <f>SUM(F15:F20)</f>
        <v>0</v>
      </c>
      <c r="G21" s="709" t="s">
        <v>57</v>
      </c>
      <c r="H21" s="730">
        <f>SUM(H15:H20)</f>
        <v>0</v>
      </c>
      <c r="I21" s="709" t="s">
        <v>206</v>
      </c>
      <c r="J21" s="710">
        <f>SUM(J15:J20)</f>
        <v>0</v>
      </c>
      <c r="K21" s="709" t="s">
        <v>665</v>
      </c>
      <c r="L21" s="709"/>
      <c r="M21" s="239"/>
    </row>
    <row r="22" spans="1:26" ht="17.399999999999999" x14ac:dyDescent="0.3">
      <c r="B22" s="712"/>
      <c r="C22" s="713"/>
      <c r="D22" s="714"/>
      <c r="E22" s="714"/>
      <c r="F22" s="715"/>
      <c r="G22" s="705"/>
      <c r="H22" s="714"/>
      <c r="I22" s="714"/>
      <c r="J22" s="714"/>
      <c r="K22" s="714"/>
      <c r="L22" s="714"/>
      <c r="M22" s="226"/>
      <c r="N22" s="69"/>
      <c r="O22" s="69"/>
      <c r="P22" s="69"/>
      <c r="Q22" s="69"/>
      <c r="R22" s="69"/>
      <c r="S22" s="69"/>
      <c r="T22" s="69"/>
      <c r="U22" s="69"/>
    </row>
    <row r="23" spans="1:26" s="56" customFormat="1" ht="17.399999999999999" x14ac:dyDescent="0.3">
      <c r="A23" s="315"/>
      <c r="B23" s="1134" t="s">
        <v>240</v>
      </c>
      <c r="C23" s="1135"/>
      <c r="D23" s="1135"/>
      <c r="E23" s="701"/>
      <c r="F23" s="716"/>
      <c r="G23" s="701"/>
      <c r="H23" s="701"/>
      <c r="I23" s="701"/>
      <c r="J23" s="701"/>
      <c r="K23" s="701"/>
      <c r="L23" s="701"/>
      <c r="M23" s="234"/>
      <c r="N23"/>
      <c r="O23"/>
      <c r="P23"/>
      <c r="Q23"/>
      <c r="R23"/>
      <c r="S23"/>
      <c r="T23"/>
      <c r="U23"/>
    </row>
    <row r="24" spans="1:26" s="69" customFormat="1" ht="17.399999999999999" x14ac:dyDescent="0.3">
      <c r="A24" s="316"/>
      <c r="B24" s="703"/>
      <c r="C24" s="704" t="s">
        <v>219</v>
      </c>
      <c r="D24" s="705"/>
      <c r="E24" s="705"/>
      <c r="F24" s="706">
        <f>IF('Gårdens info'!D30&gt;0,J189,0)</f>
        <v>0</v>
      </c>
      <c r="G24" s="705" t="s">
        <v>57</v>
      </c>
      <c r="H24" s="729">
        <f>IF('Gårdens info'!$G$30&gt;0,F24/'Gårdens info'!$G$30,0)</f>
        <v>0</v>
      </c>
      <c r="I24" s="705" t="s">
        <v>206</v>
      </c>
      <c r="J24" s="706">
        <f>F24*'Gårdens info'!$D$30</f>
        <v>0</v>
      </c>
      <c r="K24" s="705" t="s">
        <v>665</v>
      </c>
      <c r="L24" s="705"/>
      <c r="M24" s="239"/>
      <c r="N24" s="56"/>
      <c r="O24" s="56"/>
      <c r="P24" s="56"/>
      <c r="Q24" s="56"/>
      <c r="R24" s="56"/>
      <c r="S24" s="56"/>
      <c r="T24" s="56"/>
      <c r="U24" s="56"/>
    </row>
    <row r="25" spans="1:26" s="69" customFormat="1" ht="15" x14ac:dyDescent="0.25">
      <c r="A25" s="316"/>
      <c r="B25" s="703"/>
      <c r="C25" s="704" t="s">
        <v>220</v>
      </c>
      <c r="D25" s="705"/>
      <c r="E25" s="705"/>
      <c r="F25" s="706">
        <f>IF('Gårdens info'!D30&gt;0,J205,0)</f>
        <v>0</v>
      </c>
      <c r="G25" s="705" t="s">
        <v>57</v>
      </c>
      <c r="H25" s="729">
        <f>IF('Gårdens info'!$G$30&gt;0,F25/'Gårdens info'!$G$30,0)</f>
        <v>0</v>
      </c>
      <c r="I25" s="705" t="s">
        <v>206</v>
      </c>
      <c r="J25" s="706">
        <f>F25*'Gårdens info'!$D$30</f>
        <v>0</v>
      </c>
      <c r="K25" s="705" t="s">
        <v>665</v>
      </c>
      <c r="L25" s="705"/>
      <c r="M25" s="239"/>
    </row>
    <row r="26" spans="1:26" s="69" customFormat="1" ht="15" x14ac:dyDescent="0.25">
      <c r="A26" s="316"/>
      <c r="B26" s="703"/>
      <c r="C26" s="704" t="s">
        <v>574</v>
      </c>
      <c r="D26" s="705"/>
      <c r="E26" s="705"/>
      <c r="F26" s="706">
        <f>IF('Gårdens info'!D31&gt;0,J213,0)</f>
        <v>0</v>
      </c>
      <c r="G26" s="705" t="s">
        <v>57</v>
      </c>
      <c r="H26" s="729">
        <f>IF('Gårdens info'!$G$30&gt;0,F26/'Gårdens info'!$G$30,0)</f>
        <v>0</v>
      </c>
      <c r="I26" s="705" t="s">
        <v>206</v>
      </c>
      <c r="J26" s="706">
        <f>F26*'Gårdens info'!$D$30</f>
        <v>0</v>
      </c>
      <c r="K26" s="705" t="s">
        <v>665</v>
      </c>
      <c r="L26" s="705"/>
      <c r="M26" s="239"/>
    </row>
    <row r="27" spans="1:26" s="69" customFormat="1" ht="15" x14ac:dyDescent="0.25">
      <c r="A27" s="316"/>
      <c r="B27" s="703"/>
      <c r="C27" s="704" t="s">
        <v>575</v>
      </c>
      <c r="D27" s="705"/>
      <c r="E27" s="705"/>
      <c r="F27" s="706">
        <f>IF('Gårdens info'!D30&gt;0,J226,0)</f>
        <v>0</v>
      </c>
      <c r="G27" s="705" t="s">
        <v>57</v>
      </c>
      <c r="H27" s="729">
        <f>IF('Gårdens info'!$G$30&gt;0,F27/'Gårdens info'!$G$30,0)</f>
        <v>0</v>
      </c>
      <c r="I27" s="705" t="s">
        <v>206</v>
      </c>
      <c r="J27" s="706">
        <f>F27*'Gårdens info'!$D$30</f>
        <v>0</v>
      </c>
      <c r="K27" s="705" t="s">
        <v>665</v>
      </c>
      <c r="L27" s="705"/>
      <c r="M27" s="239"/>
      <c r="Y27" s="726" t="str">
        <f t="shared" ref="Y27:Y35" si="1">C42</f>
        <v>Plantor och frön</v>
      </c>
      <c r="Z27" s="736">
        <f>F42</f>
        <v>0</v>
      </c>
    </row>
    <row r="28" spans="1:26" s="69" customFormat="1" ht="15" x14ac:dyDescent="0.25">
      <c r="A28" s="316"/>
      <c r="B28" s="703"/>
      <c r="C28" s="704" t="s">
        <v>576</v>
      </c>
      <c r="D28" s="705"/>
      <c r="E28" s="705"/>
      <c r="F28" s="706">
        <f>IF('Gårdens info'!D30&gt;0,J234,0)</f>
        <v>0</v>
      </c>
      <c r="G28" s="705" t="s">
        <v>57</v>
      </c>
      <c r="H28" s="729">
        <f>IF('Gårdens info'!$G$30&gt;0,F28/'Gårdens info'!$G$30,0)</f>
        <v>0</v>
      </c>
      <c r="I28" s="705" t="s">
        <v>206</v>
      </c>
      <c r="J28" s="706">
        <f>F28*'Gårdens info'!$D$30</f>
        <v>0</v>
      </c>
      <c r="K28" s="705" t="s">
        <v>665</v>
      </c>
      <c r="L28" s="705"/>
      <c r="M28" s="239"/>
      <c r="Y28" s="726" t="str">
        <f t="shared" si="1"/>
        <v>Gödsel och kalk</v>
      </c>
      <c r="Z28" s="736">
        <f t="shared" ref="Z28:Z35" si="2">F43</f>
        <v>0</v>
      </c>
    </row>
    <row r="29" spans="1:26" s="69" customFormat="1" ht="15" x14ac:dyDescent="0.25">
      <c r="A29" s="316"/>
      <c r="B29" s="703"/>
      <c r="C29" s="704" t="s">
        <v>568</v>
      </c>
      <c r="D29" s="705"/>
      <c r="E29" s="705"/>
      <c r="F29" s="706">
        <f>IF('Gårdens info'!D30&gt;0,J242,0)</f>
        <v>0</v>
      </c>
      <c r="G29" s="705" t="s">
        <v>57</v>
      </c>
      <c r="H29" s="729">
        <f>IF('Gårdens info'!$G$30&gt;0,F29/'Gårdens info'!$G$30,0)</f>
        <v>0</v>
      </c>
      <c r="I29" s="705" t="s">
        <v>206</v>
      </c>
      <c r="J29" s="706">
        <f>F29*'Gårdens info'!$D$30</f>
        <v>0</v>
      </c>
      <c r="K29" s="705" t="s">
        <v>665</v>
      </c>
      <c r="L29" s="705"/>
      <c r="M29" s="239"/>
      <c r="Y29" s="726" t="str">
        <f t="shared" si="1"/>
        <v>IPM Växtskydd</v>
      </c>
      <c r="Z29" s="736">
        <f t="shared" si="2"/>
        <v>0</v>
      </c>
    </row>
    <row r="30" spans="1:26" s="69" customFormat="1" ht="15" x14ac:dyDescent="0.25">
      <c r="A30" s="316"/>
      <c r="B30" s="703"/>
      <c r="C30" s="704" t="s">
        <v>224</v>
      </c>
      <c r="D30" s="705"/>
      <c r="E30" s="705"/>
      <c r="F30" s="706">
        <f>IF('Gårdens info'!D30&gt;0,J154,0)</f>
        <v>0</v>
      </c>
      <c r="G30" s="705" t="s">
        <v>57</v>
      </c>
      <c r="H30" s="729">
        <f>IF('Gårdens info'!$G$30&gt;0,F30/'Gårdens info'!$G$30,0)</f>
        <v>0</v>
      </c>
      <c r="I30" s="705" t="s">
        <v>206</v>
      </c>
      <c r="J30" s="706">
        <f>F30*'Gårdens info'!$D$30</f>
        <v>0</v>
      </c>
      <c r="K30" s="705" t="s">
        <v>665</v>
      </c>
      <c r="L30" s="705"/>
      <c r="M30" s="239"/>
      <c r="Y30" s="726" t="str">
        <f t="shared" si="1"/>
        <v>Pollinering</v>
      </c>
      <c r="Z30" s="736">
        <f t="shared" si="2"/>
        <v>0</v>
      </c>
    </row>
    <row r="31" spans="1:26" s="69" customFormat="1" ht="15" x14ac:dyDescent="0.25">
      <c r="A31" s="316"/>
      <c r="B31" s="703"/>
      <c r="C31" s="704" t="s">
        <v>570</v>
      </c>
      <c r="D31" s="705"/>
      <c r="E31" s="705"/>
      <c r="F31" s="706">
        <f>IF('Gårdens info'!D30&gt;0,L277,0)</f>
        <v>0</v>
      </c>
      <c r="G31" s="705" t="s">
        <v>57</v>
      </c>
      <c r="H31" s="729">
        <f>IF('Gårdens info'!$G$30&gt;0,F31/'Gårdens info'!$G$30,0)</f>
        <v>0</v>
      </c>
      <c r="I31" s="705" t="s">
        <v>206</v>
      </c>
      <c r="J31" s="706">
        <f>F31*'Gårdens info'!$D$30</f>
        <v>0</v>
      </c>
      <c r="K31" s="705" t="s">
        <v>665</v>
      </c>
      <c r="L31" s="705"/>
      <c r="M31" s="239"/>
      <c r="Y31" s="726" t="str">
        <f t="shared" si="1"/>
        <v>Förpackningsmaterial</v>
      </c>
      <c r="Z31" s="736">
        <f t="shared" si="2"/>
        <v>0</v>
      </c>
    </row>
    <row r="32" spans="1:26" ht="15.6" x14ac:dyDescent="0.3">
      <c r="B32" s="717"/>
      <c r="C32" s="708" t="s">
        <v>54</v>
      </c>
      <c r="D32" s="709"/>
      <c r="E32" s="709"/>
      <c r="F32" s="710">
        <f>SUM(F24:F31)</f>
        <v>0</v>
      </c>
      <c r="G32" s="709" t="s">
        <v>57</v>
      </c>
      <c r="H32" s="730">
        <f>SUM(H24:H31)</f>
        <v>0</v>
      </c>
      <c r="I32" s="709" t="s">
        <v>206</v>
      </c>
      <c r="J32" s="710">
        <f>SUM(J24:J31)</f>
        <v>0</v>
      </c>
      <c r="K32" s="709" t="s">
        <v>665</v>
      </c>
      <c r="L32" s="709"/>
      <c r="M32" s="252"/>
      <c r="N32" s="69"/>
      <c r="O32" s="69"/>
      <c r="P32" s="69"/>
      <c r="Q32" s="69"/>
      <c r="R32" s="69"/>
      <c r="S32" s="69"/>
      <c r="T32" s="69"/>
      <c r="U32" s="69"/>
      <c r="Y32" s="726" t="str">
        <f t="shared" si="1"/>
        <v>Frakt av produkter</v>
      </c>
      <c r="Z32" s="736">
        <f t="shared" si="2"/>
        <v>0</v>
      </c>
    </row>
    <row r="33" spans="1:26" s="56" customFormat="1" ht="17.399999999999999" x14ac:dyDescent="0.3">
      <c r="A33" s="315"/>
      <c r="B33" s="712"/>
      <c r="C33" s="713"/>
      <c r="D33" s="714"/>
      <c r="E33" s="714"/>
      <c r="F33" s="715"/>
      <c r="G33" s="705"/>
      <c r="H33" s="714"/>
      <c r="I33" s="714"/>
      <c r="J33" s="714"/>
      <c r="K33" s="714"/>
      <c r="L33" s="714"/>
      <c r="M33" s="226"/>
      <c r="N33"/>
      <c r="O33"/>
      <c r="P33"/>
      <c r="Q33"/>
      <c r="R33"/>
      <c r="S33"/>
      <c r="T33"/>
      <c r="U33"/>
      <c r="Y33" s="726" t="str">
        <f t="shared" si="1"/>
        <v>Maskinhyra och entreprenad</v>
      </c>
      <c r="Z33" s="736">
        <f t="shared" si="2"/>
        <v>0</v>
      </c>
    </row>
    <row r="34" spans="1:26" s="69" customFormat="1" ht="17.399999999999999" x14ac:dyDescent="0.3">
      <c r="A34" s="316"/>
      <c r="B34" s="1134" t="s">
        <v>581</v>
      </c>
      <c r="C34" s="1135"/>
      <c r="D34" s="1135"/>
      <c r="E34" s="714"/>
      <c r="F34" s="714"/>
      <c r="G34" s="714"/>
      <c r="H34" s="714"/>
      <c r="I34" s="714"/>
      <c r="J34" s="714"/>
      <c r="K34" s="714"/>
      <c r="L34" s="714"/>
      <c r="M34" s="226"/>
      <c r="N34" s="56"/>
      <c r="O34" s="56"/>
      <c r="P34" s="56"/>
      <c r="Q34" s="56"/>
      <c r="R34" s="56"/>
      <c r="S34" s="56"/>
      <c r="T34" s="56"/>
      <c r="U34" s="56"/>
      <c r="Y34" s="726" t="str">
        <f t="shared" si="1"/>
        <v>Energikostnader</v>
      </c>
      <c r="Z34" s="736">
        <f t="shared" si="2"/>
        <v>0</v>
      </c>
    </row>
    <row r="35" spans="1:26" s="69" customFormat="1" ht="17.399999999999999" x14ac:dyDescent="0.3">
      <c r="A35" s="316"/>
      <c r="B35" s="712"/>
      <c r="C35" s="704" t="s">
        <v>220</v>
      </c>
      <c r="D35" s="705"/>
      <c r="E35" s="705"/>
      <c r="F35" s="706">
        <f>IF('Gårdens info'!D30&gt;0,J294/'Gårdens info'!I30,0)</f>
        <v>0</v>
      </c>
      <c r="G35" s="705" t="s">
        <v>57</v>
      </c>
      <c r="H35" s="729">
        <f>IF('Gårdens info'!$G$30&gt;0,F35/'Gårdens info'!$G$30,0)</f>
        <v>0</v>
      </c>
      <c r="I35" s="705" t="s">
        <v>206</v>
      </c>
      <c r="J35" s="706">
        <f>F35*'Gårdens info'!$D$30</f>
        <v>0</v>
      </c>
      <c r="K35" s="705" t="s">
        <v>665</v>
      </c>
      <c r="L35" s="714"/>
      <c r="M35" s="226"/>
      <c r="Y35" s="726" t="str">
        <f t="shared" si="1"/>
        <v>Anställd personal</v>
      </c>
      <c r="Z35" s="736">
        <f t="shared" si="2"/>
        <v>0</v>
      </c>
    </row>
    <row r="36" spans="1:26" s="69" customFormat="1" ht="15" x14ac:dyDescent="0.25">
      <c r="A36" s="316"/>
      <c r="B36" s="703"/>
      <c r="C36" s="704" t="s">
        <v>568</v>
      </c>
      <c r="D36" s="705"/>
      <c r="E36" s="705"/>
      <c r="F36" s="706">
        <f>IF('Gårdens info'!D30&gt;0,J302/'Gårdens info'!I30,0)</f>
        <v>0</v>
      </c>
      <c r="G36" s="705" t="s">
        <v>57</v>
      </c>
      <c r="H36" s="729">
        <f>IF('Gårdens info'!$G$30&gt;0,F36/'Gårdens info'!$G$30,0)</f>
        <v>0</v>
      </c>
      <c r="I36" s="705" t="s">
        <v>206</v>
      </c>
      <c r="J36" s="706">
        <f>F36*'Gårdens info'!$D$30</f>
        <v>0</v>
      </c>
      <c r="K36" s="705" t="s">
        <v>665</v>
      </c>
      <c r="L36" s="705"/>
      <c r="M36" s="239"/>
      <c r="Y36" s="384" t="s">
        <v>538</v>
      </c>
      <c r="Z36" s="695">
        <f>F53</f>
        <v>0</v>
      </c>
    </row>
    <row r="37" spans="1:26" s="69" customFormat="1" ht="15" x14ac:dyDescent="0.25">
      <c r="A37" s="316"/>
      <c r="B37" s="703"/>
      <c r="C37" s="704" t="s">
        <v>224</v>
      </c>
      <c r="D37" s="705"/>
      <c r="E37" s="705"/>
      <c r="F37" s="706">
        <f>IF('Gårdens info'!D30&gt;0,J314/'Gårdens info'!I30,0)</f>
        <v>0</v>
      </c>
      <c r="G37" s="705" t="s">
        <v>57</v>
      </c>
      <c r="H37" s="729">
        <f>IF('Gårdens info'!$G$30&gt;0,F37/'Gårdens info'!$G$30,0)</f>
        <v>0</v>
      </c>
      <c r="I37" s="705" t="s">
        <v>206</v>
      </c>
      <c r="J37" s="706">
        <f>F37*'Gårdens info'!$D$30</f>
        <v>0</v>
      </c>
      <c r="K37" s="705" t="s">
        <v>665</v>
      </c>
      <c r="L37" s="705"/>
      <c r="M37" s="239"/>
      <c r="Y37" s="382" t="s">
        <v>482</v>
      </c>
      <c r="Z37" s="695">
        <f>F54</f>
        <v>0</v>
      </c>
    </row>
    <row r="38" spans="1:26" s="69" customFormat="1" ht="15" x14ac:dyDescent="0.25">
      <c r="A38" s="316"/>
      <c r="B38" s="703"/>
      <c r="C38" s="704" t="s">
        <v>570</v>
      </c>
      <c r="D38" s="705"/>
      <c r="E38" s="705"/>
      <c r="F38" s="706">
        <f>IF('Gårdens info'!D30&gt;0,L328/'Gårdens info'!I30,0)</f>
        <v>0</v>
      </c>
      <c r="G38" s="705" t="s">
        <v>57</v>
      </c>
      <c r="H38" s="729">
        <f>IF('Gårdens info'!$G$30&gt;0,F38/'Gårdens info'!$G$30,0)</f>
        <v>0</v>
      </c>
      <c r="I38" s="705" t="s">
        <v>206</v>
      </c>
      <c r="J38" s="706">
        <f>F38*'Gårdens info'!$D$30</f>
        <v>0</v>
      </c>
      <c r="K38" s="705" t="s">
        <v>665</v>
      </c>
      <c r="L38" s="705"/>
      <c r="M38" s="239"/>
      <c r="Y38" s="382" t="s">
        <v>235</v>
      </c>
      <c r="Z38" s="736">
        <f>F63</f>
        <v>0</v>
      </c>
    </row>
    <row r="39" spans="1:26" s="69" customFormat="1" ht="15.6" x14ac:dyDescent="0.3">
      <c r="A39" s="316"/>
      <c r="B39" s="718"/>
      <c r="C39" s="719" t="s">
        <v>54</v>
      </c>
      <c r="D39" s="719"/>
      <c r="E39" s="719"/>
      <c r="F39" s="720">
        <f>SUM(F35:F38)</f>
        <v>0</v>
      </c>
      <c r="G39" s="709" t="s">
        <v>57</v>
      </c>
      <c r="H39" s="731">
        <f>SUM(H35:H38)</f>
        <v>0</v>
      </c>
      <c r="I39" s="709" t="s">
        <v>206</v>
      </c>
      <c r="J39" s="710">
        <f>SUM(J35:J38)</f>
        <v>0</v>
      </c>
      <c r="K39" s="709" t="s">
        <v>665</v>
      </c>
      <c r="L39" s="722"/>
      <c r="M39" s="259"/>
      <c r="Y39" s="382" t="s">
        <v>236</v>
      </c>
      <c r="Z39" s="736">
        <f>F70</f>
        <v>0</v>
      </c>
    </row>
    <row r="40" spans="1:26" s="69" customFormat="1" ht="15.6" x14ac:dyDescent="0.3">
      <c r="A40" s="316"/>
      <c r="B40" s="718"/>
      <c r="C40" s="719"/>
      <c r="D40" s="719"/>
      <c r="E40" s="719"/>
      <c r="F40" s="720"/>
      <c r="G40" s="709"/>
      <c r="H40" s="731"/>
      <c r="I40" s="709"/>
      <c r="J40" s="710"/>
      <c r="K40" s="709"/>
      <c r="L40" s="722"/>
      <c r="M40" s="259"/>
      <c r="Y40" s="382" t="s">
        <v>237</v>
      </c>
      <c r="Z40" s="736">
        <f>F77</f>
        <v>0</v>
      </c>
    </row>
    <row r="41" spans="1:26" s="69" customFormat="1" ht="17.399999999999999" x14ac:dyDescent="0.3">
      <c r="A41" s="316"/>
      <c r="B41" s="700" t="s">
        <v>666</v>
      </c>
      <c r="C41" s="245"/>
      <c r="D41" s="719"/>
      <c r="E41" s="719"/>
      <c r="F41" s="720"/>
      <c r="G41" s="709"/>
      <c r="H41" s="731"/>
      <c r="I41" s="709"/>
      <c r="J41" s="710"/>
      <c r="K41" s="709"/>
      <c r="L41" s="722"/>
      <c r="M41" s="259"/>
      <c r="Y41" s="382" t="s">
        <v>141</v>
      </c>
      <c r="Z41" s="736">
        <f>F83</f>
        <v>0</v>
      </c>
    </row>
    <row r="42" spans="1:26" s="69" customFormat="1" ht="15.6" x14ac:dyDescent="0.3">
      <c r="A42" s="316"/>
      <c r="B42" s="235"/>
      <c r="C42" s="950" t="s">
        <v>566</v>
      </c>
      <c r="D42" s="719"/>
      <c r="E42" s="719"/>
      <c r="F42" s="280">
        <f>F15</f>
        <v>0</v>
      </c>
      <c r="G42" s="236" t="s">
        <v>57</v>
      </c>
      <c r="H42" s="591">
        <f>H15</f>
        <v>0</v>
      </c>
      <c r="I42" s="236" t="s">
        <v>206</v>
      </c>
      <c r="J42" s="280">
        <f>J15</f>
        <v>0</v>
      </c>
      <c r="K42" s="119" t="s">
        <v>665</v>
      </c>
      <c r="L42" s="722"/>
      <c r="M42" s="259"/>
      <c r="Y42" s="382" t="s">
        <v>192</v>
      </c>
      <c r="Z42" s="736">
        <f>F95</f>
        <v>0</v>
      </c>
    </row>
    <row r="43" spans="1:26" s="69" customFormat="1" ht="15.6" x14ac:dyDescent="0.3">
      <c r="A43" s="316"/>
      <c r="B43" s="235"/>
      <c r="C43" s="950" t="s">
        <v>219</v>
      </c>
      <c r="D43" s="719"/>
      <c r="E43" s="719"/>
      <c r="F43" s="280">
        <f>F16+F24</f>
        <v>0</v>
      </c>
      <c r="G43" s="236" t="s">
        <v>57</v>
      </c>
      <c r="H43" s="591">
        <f>H16+H24</f>
        <v>0</v>
      </c>
      <c r="I43" s="236" t="s">
        <v>206</v>
      </c>
      <c r="J43" s="280">
        <f>J16+J24</f>
        <v>0</v>
      </c>
      <c r="K43" s="119" t="s">
        <v>665</v>
      </c>
      <c r="L43" s="722"/>
      <c r="M43" s="259"/>
      <c r="Y43" s="691"/>
      <c r="Z43" s="736"/>
    </row>
    <row r="44" spans="1:26" s="69" customFormat="1" ht="15.6" x14ac:dyDescent="0.3">
      <c r="A44" s="316"/>
      <c r="B44" s="235"/>
      <c r="C44" s="950" t="s">
        <v>220</v>
      </c>
      <c r="D44" s="719"/>
      <c r="E44" s="719"/>
      <c r="F44" s="280">
        <f>F17+F25+F35</f>
        <v>0</v>
      </c>
      <c r="G44" s="236" t="s">
        <v>57</v>
      </c>
      <c r="H44" s="591">
        <f>H17+H25+H35</f>
        <v>0</v>
      </c>
      <c r="I44" s="236" t="s">
        <v>206</v>
      </c>
      <c r="J44" s="280">
        <f>J17+J25+J35</f>
        <v>0</v>
      </c>
      <c r="K44" s="119" t="s">
        <v>665</v>
      </c>
      <c r="L44" s="722"/>
      <c r="M44" s="259"/>
      <c r="Y44" s="698"/>
      <c r="Z44" s="735"/>
    </row>
    <row r="45" spans="1:26" s="69" customFormat="1" ht="15.6" x14ac:dyDescent="0.3">
      <c r="A45" s="316"/>
      <c r="B45" s="235"/>
      <c r="C45" s="950" t="s">
        <v>574</v>
      </c>
      <c r="D45" s="719"/>
      <c r="E45" s="719"/>
      <c r="F45" s="280">
        <f>F26</f>
        <v>0</v>
      </c>
      <c r="G45" s="236" t="s">
        <v>57</v>
      </c>
      <c r="H45" s="591">
        <f>H26</f>
        <v>0</v>
      </c>
      <c r="I45" s="236" t="s">
        <v>206</v>
      </c>
      <c r="J45" s="280">
        <f>J26</f>
        <v>0</v>
      </c>
      <c r="K45" s="119" t="s">
        <v>665</v>
      </c>
      <c r="L45" s="722"/>
      <c r="M45" s="259"/>
      <c r="Y45" s="698"/>
      <c r="Z45" s="735"/>
    </row>
    <row r="46" spans="1:26" s="69" customFormat="1" ht="15.6" x14ac:dyDescent="0.3">
      <c r="A46" s="316"/>
      <c r="B46" s="235"/>
      <c r="C46" s="950" t="s">
        <v>575</v>
      </c>
      <c r="D46" s="719"/>
      <c r="E46" s="719"/>
      <c r="F46" s="280">
        <f>F27</f>
        <v>0</v>
      </c>
      <c r="G46" s="236" t="s">
        <v>57</v>
      </c>
      <c r="H46" s="591">
        <f>H27</f>
        <v>0</v>
      </c>
      <c r="I46" s="236" t="s">
        <v>206</v>
      </c>
      <c r="J46" s="280">
        <f>J27</f>
        <v>0</v>
      </c>
      <c r="K46" s="119" t="s">
        <v>665</v>
      </c>
      <c r="L46" s="722"/>
      <c r="M46" s="259"/>
      <c r="Y46" s="698"/>
      <c r="Z46" s="735"/>
    </row>
    <row r="47" spans="1:26" s="69" customFormat="1" ht="15.6" x14ac:dyDescent="0.3">
      <c r="A47" s="316"/>
      <c r="B47" s="235"/>
      <c r="C47" s="950" t="s">
        <v>576</v>
      </c>
      <c r="D47" s="719"/>
      <c r="E47" s="719"/>
      <c r="F47" s="280">
        <f>F28</f>
        <v>0</v>
      </c>
      <c r="G47" s="236" t="s">
        <v>57</v>
      </c>
      <c r="H47" s="591">
        <f>H28</f>
        <v>0</v>
      </c>
      <c r="I47" s="236" t="s">
        <v>206</v>
      </c>
      <c r="J47" s="280">
        <f>J28</f>
        <v>0</v>
      </c>
      <c r="K47" s="119" t="s">
        <v>665</v>
      </c>
      <c r="L47" s="722"/>
      <c r="M47" s="259"/>
      <c r="Y47" s="698"/>
      <c r="Z47" s="735"/>
    </row>
    <row r="48" spans="1:26" s="69" customFormat="1" ht="15.6" x14ac:dyDescent="0.3">
      <c r="A48" s="316"/>
      <c r="B48" s="235"/>
      <c r="C48" s="950" t="s">
        <v>568</v>
      </c>
      <c r="D48" s="719"/>
      <c r="E48" s="719"/>
      <c r="F48" s="280">
        <f>F18+F29+F36</f>
        <v>0</v>
      </c>
      <c r="G48" s="236" t="s">
        <v>57</v>
      </c>
      <c r="H48" s="591">
        <f>H18+H29+H36</f>
        <v>0</v>
      </c>
      <c r="I48" s="236" t="s">
        <v>206</v>
      </c>
      <c r="J48" s="280">
        <f>J18+J29+J36</f>
        <v>0</v>
      </c>
      <c r="K48" s="119" t="s">
        <v>665</v>
      </c>
      <c r="L48" s="722"/>
      <c r="M48" s="259"/>
      <c r="Y48" s="698"/>
      <c r="Z48" s="735"/>
    </row>
    <row r="49" spans="1:26" s="69" customFormat="1" ht="15.6" x14ac:dyDescent="0.3">
      <c r="A49" s="316"/>
      <c r="B49" s="235"/>
      <c r="C49" s="950" t="s">
        <v>224</v>
      </c>
      <c r="D49" s="719"/>
      <c r="E49" s="719"/>
      <c r="F49" s="280">
        <f>F19+F30</f>
        <v>0</v>
      </c>
      <c r="G49" s="236" t="s">
        <v>57</v>
      </c>
      <c r="H49" s="591">
        <f>H19+H30+H37</f>
        <v>0</v>
      </c>
      <c r="I49" s="236" t="s">
        <v>206</v>
      </c>
      <c r="J49" s="280">
        <f>J19+J30</f>
        <v>0</v>
      </c>
      <c r="K49" s="119" t="s">
        <v>665</v>
      </c>
      <c r="L49" s="722"/>
      <c r="M49" s="259"/>
      <c r="Y49" s="698"/>
      <c r="Z49" s="735"/>
    </row>
    <row r="50" spans="1:26" s="69" customFormat="1" ht="15.6" x14ac:dyDescent="0.3">
      <c r="A50" s="316"/>
      <c r="B50" s="235"/>
      <c r="C50" s="950" t="s">
        <v>570</v>
      </c>
      <c r="D50" s="719"/>
      <c r="E50" s="719"/>
      <c r="F50" s="280">
        <f>F20+F31+F38</f>
        <v>0</v>
      </c>
      <c r="G50" s="236" t="s">
        <v>57</v>
      </c>
      <c r="H50" s="591">
        <f>H20+H31+H38</f>
        <v>0</v>
      </c>
      <c r="I50" s="236" t="s">
        <v>206</v>
      </c>
      <c r="J50" s="280">
        <f>J20+J31+J38</f>
        <v>0</v>
      </c>
      <c r="K50" s="119" t="s">
        <v>665</v>
      </c>
      <c r="L50" s="722"/>
      <c r="M50" s="259"/>
      <c r="Y50" s="698"/>
      <c r="Z50" s="735"/>
    </row>
    <row r="51" spans="1:26" s="69" customFormat="1" ht="15.6" x14ac:dyDescent="0.3">
      <c r="A51" s="316"/>
      <c r="B51" s="251"/>
      <c r="C51" s="240" t="s">
        <v>54</v>
      </c>
      <c r="D51" s="719"/>
      <c r="E51" s="719"/>
      <c r="F51" s="732">
        <f>SUM(F42:F50)</f>
        <v>0</v>
      </c>
      <c r="G51" s="733" t="s">
        <v>57</v>
      </c>
      <c r="H51" s="734">
        <f>SUM(H42:H50)</f>
        <v>0</v>
      </c>
      <c r="I51" s="733" t="s">
        <v>206</v>
      </c>
      <c r="J51" s="732">
        <f>SUM(J42:J50)</f>
        <v>0</v>
      </c>
      <c r="K51" s="733" t="s">
        <v>665</v>
      </c>
      <c r="L51" s="722"/>
      <c r="M51" s="259"/>
      <c r="Y51" s="698"/>
      <c r="Z51" s="735"/>
    </row>
    <row r="52" spans="1:26" s="69" customFormat="1" ht="15.6" x14ac:dyDescent="0.3">
      <c r="A52" s="316"/>
      <c r="B52" s="286"/>
      <c r="C52" s="262"/>
      <c r="D52" s="262"/>
      <c r="E52" s="262"/>
      <c r="F52" s="263"/>
      <c r="G52" s="243"/>
      <c r="H52" s="264"/>
      <c r="I52" s="243"/>
      <c r="J52" s="258"/>
      <c r="K52" s="243"/>
      <c r="L52" s="265"/>
      <c r="M52" s="259"/>
    </row>
    <row r="53" spans="1:26" s="192" customFormat="1" ht="17.399999999999999" x14ac:dyDescent="0.3">
      <c r="A53" s="317"/>
      <c r="B53" s="1089" t="s">
        <v>667</v>
      </c>
      <c r="C53" s="1090"/>
      <c r="D53" s="1090"/>
      <c r="E53" s="1090"/>
      <c r="F53" s="263">
        <f>IF('Gårdens info'!D30&gt;0,J53/'Gårdens info'!D30,0)</f>
        <v>0</v>
      </c>
      <c r="G53" s="243" t="s">
        <v>57</v>
      </c>
      <c r="H53" s="506">
        <f>IF('Gårdens info'!G30&gt;0,F53/'Gårdens info'!G30,0)</f>
        <v>0</v>
      </c>
      <c r="I53" s="243" t="s">
        <v>206</v>
      </c>
      <c r="J53" s="258">
        <f>'Gårdens info'!G163/'Gårdens info'!D43*'Gårdens info'!D30</f>
        <v>0</v>
      </c>
      <c r="K53" s="243" t="s">
        <v>665</v>
      </c>
      <c r="L53" s="265"/>
      <c r="M53" s="259"/>
      <c r="N53" s="69"/>
      <c r="O53" s="69"/>
      <c r="P53" s="69"/>
      <c r="Q53" s="69"/>
      <c r="R53" s="69"/>
      <c r="S53" s="69"/>
      <c r="T53" s="69"/>
      <c r="U53" s="69"/>
    </row>
    <row r="54" spans="1:26" ht="17.399999999999999" x14ac:dyDescent="0.3">
      <c r="B54" s="1091" t="s">
        <v>668</v>
      </c>
      <c r="C54" s="1092"/>
      <c r="D54" s="1092"/>
      <c r="E54" s="1092"/>
      <c r="F54" s="263">
        <f>IF('Gårdens info'!D30&gt;0,J54/'Gårdens info'!D30,0)</f>
        <v>0</v>
      </c>
      <c r="G54" s="243" t="s">
        <v>57</v>
      </c>
      <c r="H54" s="506">
        <f>IF('Gårdens info'!G30&gt;0,F54/'Gårdens info'!G30,0)</f>
        <v>0</v>
      </c>
      <c r="I54" s="243" t="s">
        <v>206</v>
      </c>
      <c r="J54" s="258">
        <f>'Gårdens info'!$D$48/'Gårdens info'!$D$49*'Gårdens info'!$G$48*'Gårdens info'!D30</f>
        <v>0</v>
      </c>
      <c r="K54" s="243" t="s">
        <v>665</v>
      </c>
      <c r="L54" s="265"/>
      <c r="M54" s="259"/>
      <c r="N54" s="192"/>
      <c r="O54" s="192"/>
      <c r="P54" s="192"/>
      <c r="Q54" s="192"/>
      <c r="R54" s="192"/>
      <c r="S54" s="192"/>
      <c r="T54" s="192"/>
      <c r="U54" s="192"/>
    </row>
    <row r="55" spans="1:26" ht="21" x14ac:dyDescent="0.4">
      <c r="B55" s="1061" t="s">
        <v>189</v>
      </c>
      <c r="C55" s="1043"/>
      <c r="D55" s="1043"/>
      <c r="E55" s="262"/>
      <c r="F55" s="266">
        <f>F21+F32+F39+F53+F54</f>
        <v>0</v>
      </c>
      <c r="G55" s="267" t="s">
        <v>57</v>
      </c>
      <c r="H55" s="507">
        <f>H21+H32+H39+H53+H54</f>
        <v>0</v>
      </c>
      <c r="I55" s="267" t="s">
        <v>206</v>
      </c>
      <c r="J55" s="269">
        <f>J21+J32+J39+J53+J54</f>
        <v>0</v>
      </c>
      <c r="K55" s="267" t="s">
        <v>665</v>
      </c>
      <c r="L55" s="267"/>
      <c r="M55" s="259"/>
      <c r="Y55" s="192"/>
      <c r="Z55" s="192"/>
    </row>
    <row r="56" spans="1:26" ht="21" x14ac:dyDescent="0.4">
      <c r="B56" s="288"/>
      <c r="C56" s="270"/>
      <c r="D56" s="270"/>
      <c r="E56" s="262"/>
      <c r="F56" s="266"/>
      <c r="G56" s="267"/>
      <c r="H56" s="268"/>
      <c r="I56" s="267"/>
      <c r="J56" s="269"/>
      <c r="K56" s="267"/>
      <c r="L56" s="267"/>
      <c r="M56" s="259"/>
    </row>
    <row r="57" spans="1:26" s="69" customFormat="1" ht="21" x14ac:dyDescent="0.4">
      <c r="A57" s="316"/>
      <c r="B57" s="257" t="s">
        <v>669</v>
      </c>
      <c r="C57" s="225"/>
      <c r="D57" s="116"/>
      <c r="E57" s="116"/>
      <c r="F57" s="116"/>
      <c r="G57" s="116"/>
      <c r="H57" s="116"/>
      <c r="I57" s="116"/>
      <c r="J57" s="232"/>
      <c r="K57" s="116"/>
      <c r="L57" s="116"/>
      <c r="M57" s="226"/>
      <c r="N57"/>
      <c r="O57"/>
      <c r="P57"/>
      <c r="Q57"/>
      <c r="R57"/>
      <c r="S57"/>
      <c r="T57"/>
      <c r="U57"/>
      <c r="Y57"/>
      <c r="Z57"/>
    </row>
    <row r="58" spans="1:26" s="69" customFormat="1" ht="21" x14ac:dyDescent="0.4">
      <c r="A58" s="316"/>
      <c r="B58" s="1081" t="s">
        <v>69</v>
      </c>
      <c r="C58" s="1082"/>
      <c r="D58" s="270"/>
      <c r="E58" s="262"/>
      <c r="F58" s="266"/>
      <c r="G58" s="267"/>
      <c r="H58" s="268"/>
      <c r="I58" s="267"/>
      <c r="J58" s="269"/>
      <c r="K58" s="267"/>
      <c r="L58" s="267"/>
      <c r="M58" s="259"/>
      <c r="Y58"/>
      <c r="Z58"/>
    </row>
    <row r="59" spans="1:26" s="69" customFormat="1" ht="21" x14ac:dyDescent="0.4">
      <c r="A59" s="316"/>
      <c r="B59" s="287"/>
      <c r="C59" s="941" t="s">
        <v>229</v>
      </c>
      <c r="D59" s="942"/>
      <c r="E59" s="262"/>
      <c r="F59" s="276">
        <f>IF('Gårdens info'!$D$30&gt;0,J59/'Gårdens info'!$D$30,0)</f>
        <v>0</v>
      </c>
      <c r="G59" s="119" t="s">
        <v>57</v>
      </c>
      <c r="H59" s="502">
        <f>IF('Gårdens info'!$G$30&gt;0,F59/'Gårdens info'!$G$30,0)</f>
        <v>0</v>
      </c>
      <c r="I59" s="119" t="s">
        <v>206</v>
      </c>
      <c r="J59" s="237">
        <f>Egendom!AX25</f>
        <v>0</v>
      </c>
      <c r="K59" s="119" t="s">
        <v>665</v>
      </c>
      <c r="L59" s="267"/>
      <c r="M59" s="259"/>
    </row>
    <row r="60" spans="1:26" s="5" customFormat="1" ht="21" x14ac:dyDescent="0.4">
      <c r="A60" s="314"/>
      <c r="B60" s="287"/>
      <c r="C60" s="941" t="s">
        <v>230</v>
      </c>
      <c r="D60" s="942"/>
      <c r="E60" s="262"/>
      <c r="F60" s="276">
        <f>IF('Gårdens info'!$D$30&gt;0,J60/'Gårdens info'!$D$30,0)</f>
        <v>0</v>
      </c>
      <c r="G60" s="119" t="s">
        <v>57</v>
      </c>
      <c r="H60" s="502">
        <f>IF('Gårdens info'!$G$30&gt;0,F60/'Gårdens info'!$G$30,0)</f>
        <v>0</v>
      </c>
      <c r="I60" s="119" t="s">
        <v>206</v>
      </c>
      <c r="J60" s="237">
        <f>Egendom!BV25</f>
        <v>0</v>
      </c>
      <c r="K60" s="119" t="s">
        <v>665</v>
      </c>
      <c r="L60" s="267"/>
      <c r="M60" s="259"/>
      <c r="N60" s="69"/>
      <c r="O60" s="69"/>
      <c r="P60" s="69"/>
      <c r="Q60" s="69"/>
      <c r="R60" s="69"/>
      <c r="S60" s="69"/>
      <c r="T60" s="69"/>
      <c r="U60" s="69"/>
      <c r="Y60" s="69"/>
      <c r="Z60" s="69"/>
    </row>
    <row r="61" spans="1:26" s="5" customFormat="1" ht="17.399999999999999" customHeight="1" x14ac:dyDescent="0.3">
      <c r="A61" s="314"/>
      <c r="B61" s="287"/>
      <c r="C61" s="1108" t="s">
        <v>232</v>
      </c>
      <c r="D61" s="1108"/>
      <c r="E61" s="262"/>
      <c r="F61" s="276">
        <f>IF('Gårdens info'!$D$30&gt;0,J61/'Gårdens info'!$D$30,0)</f>
        <v>0</v>
      </c>
      <c r="G61" s="119" t="s">
        <v>57</v>
      </c>
      <c r="H61" s="502">
        <f>IF('Gårdens info'!$G$30&gt;0,F61/'Gårdens info'!$G$30,0)</f>
        <v>0</v>
      </c>
      <c r="I61" s="119" t="s">
        <v>206</v>
      </c>
      <c r="J61" s="237">
        <f>Egendom!CT25</f>
        <v>0</v>
      </c>
      <c r="K61" s="119" t="s">
        <v>665</v>
      </c>
      <c r="L61" s="267"/>
      <c r="M61" s="259"/>
      <c r="Y61" s="69"/>
      <c r="Z61" s="69"/>
    </row>
    <row r="62" spans="1:26" s="5" customFormat="1" ht="21" x14ac:dyDescent="0.4">
      <c r="A62" s="314"/>
      <c r="B62" s="287"/>
      <c r="C62" s="941" t="s">
        <v>483</v>
      </c>
      <c r="D62" s="942"/>
      <c r="E62" s="262"/>
      <c r="F62" s="276">
        <f>IF('Gårdens info'!$D$30&gt;0,J62/'Gårdens info'!$D$30,0)</f>
        <v>0</v>
      </c>
      <c r="G62" s="119" t="s">
        <v>57</v>
      </c>
      <c r="H62" s="502">
        <f>IF('Gårdens info'!$G$30&gt;0,F62/'Gårdens info'!$G$30,0)</f>
        <v>0</v>
      </c>
      <c r="I62" s="119" t="s">
        <v>206</v>
      </c>
      <c r="J62" s="237">
        <f>Egendom!DR25</f>
        <v>0</v>
      </c>
      <c r="K62" s="119" t="s">
        <v>665</v>
      </c>
      <c r="L62" s="267"/>
      <c r="M62" s="259"/>
    </row>
    <row r="63" spans="1:26" s="5" customFormat="1" ht="20.399999999999999" x14ac:dyDescent="0.35">
      <c r="A63" s="314"/>
      <c r="B63" s="289"/>
      <c r="C63" s="943" t="s">
        <v>54</v>
      </c>
      <c r="D63" s="944"/>
      <c r="E63" s="262"/>
      <c r="F63" s="280">
        <f>SUM(F59:F62)</f>
        <v>0</v>
      </c>
      <c r="G63" s="119" t="s">
        <v>57</v>
      </c>
      <c r="H63" s="509">
        <f t="shared" ref="H63:J63" si="3">SUM(H59:H62)</f>
        <v>0</v>
      </c>
      <c r="I63" s="119" t="s">
        <v>206</v>
      </c>
      <c r="J63" s="280">
        <f t="shared" si="3"/>
        <v>0</v>
      </c>
      <c r="K63" s="119" t="s">
        <v>665</v>
      </c>
      <c r="L63" s="281"/>
      <c r="M63" s="259"/>
    </row>
    <row r="64" spans="1:26" s="5" customFormat="1" ht="21" x14ac:dyDescent="0.4">
      <c r="A64" s="314"/>
      <c r="B64" s="287"/>
      <c r="C64" s="274"/>
      <c r="D64" s="270"/>
      <c r="E64" s="262"/>
      <c r="F64" s="276"/>
      <c r="G64" s="119"/>
      <c r="H64" s="277"/>
      <c r="I64" s="119"/>
      <c r="J64" s="237"/>
      <c r="K64" s="119"/>
      <c r="L64" s="267"/>
      <c r="M64" s="259"/>
    </row>
    <row r="65" spans="1:26" s="5" customFormat="1" ht="43.2" customHeight="1" x14ac:dyDescent="0.3">
      <c r="A65" s="314"/>
      <c r="B65" s="1081" t="s">
        <v>83</v>
      </c>
      <c r="C65" s="1082"/>
      <c r="D65" s="1082"/>
      <c r="E65" s="262"/>
      <c r="F65" s="276"/>
      <c r="G65" s="119"/>
      <c r="H65" s="277"/>
      <c r="I65" s="119"/>
      <c r="J65" s="237"/>
      <c r="K65" s="119"/>
      <c r="L65" s="267"/>
      <c r="M65" s="259"/>
    </row>
    <row r="66" spans="1:26" ht="21" x14ac:dyDescent="0.4">
      <c r="B66" s="287"/>
      <c r="C66" s="941" t="s">
        <v>229</v>
      </c>
      <c r="D66" s="942"/>
      <c r="E66" s="262"/>
      <c r="F66" s="276">
        <f>IF('Gårdens info'!$D$30&gt;0,J66/'Gårdens info'!$D$30,0)</f>
        <v>0</v>
      </c>
      <c r="G66" s="119" t="s">
        <v>57</v>
      </c>
      <c r="H66" s="502">
        <f>IF('Gårdens info'!$G$30&gt;0,F66/'Gårdens info'!$G$30,0)</f>
        <v>0</v>
      </c>
      <c r="I66" s="119" t="s">
        <v>206</v>
      </c>
      <c r="J66" s="237">
        <f>Egendom!AX61</f>
        <v>0</v>
      </c>
      <c r="K66" s="119" t="s">
        <v>665</v>
      </c>
      <c r="L66" s="267"/>
      <c r="M66" s="259"/>
      <c r="N66" s="5"/>
      <c r="O66" s="5"/>
      <c r="P66" s="5"/>
      <c r="Q66" s="5"/>
      <c r="R66" s="5"/>
      <c r="S66" s="5"/>
      <c r="T66" s="5"/>
      <c r="U66" s="5"/>
      <c r="Y66" s="5"/>
      <c r="Z66" s="5"/>
    </row>
    <row r="67" spans="1:26" s="5" customFormat="1" ht="21" x14ac:dyDescent="0.4">
      <c r="A67" s="314"/>
      <c r="B67" s="287"/>
      <c r="C67" s="941" t="s">
        <v>230</v>
      </c>
      <c r="D67" s="942"/>
      <c r="E67" s="262"/>
      <c r="F67" s="276">
        <f>IF('Gårdens info'!$D$30&gt;0,J67/'Gårdens info'!$D$30,0)</f>
        <v>0</v>
      </c>
      <c r="G67" s="119" t="s">
        <v>57</v>
      </c>
      <c r="H67" s="502">
        <f>IF('Gårdens info'!$G$30&gt;0,F67/'Gårdens info'!$G$30,0)</f>
        <v>0</v>
      </c>
      <c r="I67" s="119" t="s">
        <v>206</v>
      </c>
      <c r="J67" s="237">
        <f>Egendom!BV61</f>
        <v>0</v>
      </c>
      <c r="K67" s="119" t="s">
        <v>665</v>
      </c>
      <c r="L67" s="267"/>
      <c r="M67" s="259"/>
      <c r="N67"/>
      <c r="O67"/>
      <c r="P67"/>
      <c r="Q67"/>
      <c r="R67"/>
      <c r="S67"/>
      <c r="T67"/>
      <c r="U67"/>
    </row>
    <row r="68" spans="1:26" s="5" customFormat="1" ht="17.399999999999999" customHeight="1" x14ac:dyDescent="0.3">
      <c r="A68" s="314"/>
      <c r="B68" s="287"/>
      <c r="C68" s="1108" t="s">
        <v>232</v>
      </c>
      <c r="D68" s="1108"/>
      <c r="E68" s="262"/>
      <c r="F68" s="276">
        <f>IF('Gårdens info'!$D$30&gt;0,J68/'Gårdens info'!$D$30,0)</f>
        <v>0</v>
      </c>
      <c r="G68" s="119" t="s">
        <v>57</v>
      </c>
      <c r="H68" s="502">
        <f>IF('Gårdens info'!$G$30&gt;0,F68/'Gårdens info'!$G$30,0)</f>
        <v>0</v>
      </c>
      <c r="I68" s="119" t="s">
        <v>206</v>
      </c>
      <c r="J68" s="237">
        <f>Egendom!CT61</f>
        <v>0</v>
      </c>
      <c r="K68" s="119" t="s">
        <v>665</v>
      </c>
      <c r="L68" s="267"/>
      <c r="M68" s="259"/>
      <c r="Y68"/>
      <c r="Z68"/>
    </row>
    <row r="69" spans="1:26" s="5" customFormat="1" ht="21" x14ac:dyDescent="0.4">
      <c r="A69" s="314"/>
      <c r="B69" s="287"/>
      <c r="C69" s="941" t="s">
        <v>483</v>
      </c>
      <c r="D69" s="942"/>
      <c r="E69" s="262"/>
      <c r="F69" s="276">
        <f>IF('Gårdens info'!$D$30&gt;0,J69/'Gårdens info'!$D$30,0)</f>
        <v>0</v>
      </c>
      <c r="G69" s="119" t="s">
        <v>57</v>
      </c>
      <c r="H69" s="502">
        <f>IF('Gårdens info'!$G$30&gt;0,F69/'Gårdens info'!$G$30,0)</f>
        <v>0</v>
      </c>
      <c r="I69" s="119" t="s">
        <v>206</v>
      </c>
      <c r="J69" s="237">
        <f>Egendom!DR61</f>
        <v>0</v>
      </c>
      <c r="K69" s="119" t="s">
        <v>665</v>
      </c>
      <c r="L69" s="267"/>
      <c r="M69" s="259"/>
    </row>
    <row r="70" spans="1:26" s="5" customFormat="1" ht="20.399999999999999" x14ac:dyDescent="0.35">
      <c r="A70" s="314"/>
      <c r="B70" s="289"/>
      <c r="C70" s="943" t="s">
        <v>54</v>
      </c>
      <c r="D70" s="944"/>
      <c r="E70" s="262"/>
      <c r="F70" s="280">
        <f>SUM(F66:F69)</f>
        <v>0</v>
      </c>
      <c r="G70" s="119" t="s">
        <v>57</v>
      </c>
      <c r="H70" s="509">
        <f t="shared" ref="H70:J70" si="4">SUM(H66:H69)</f>
        <v>0</v>
      </c>
      <c r="I70" s="119" t="s">
        <v>206</v>
      </c>
      <c r="J70" s="280">
        <f t="shared" si="4"/>
        <v>0</v>
      </c>
      <c r="K70" s="119" t="s">
        <v>665</v>
      </c>
      <c r="L70" s="281"/>
      <c r="M70" s="259"/>
    </row>
    <row r="71" spans="1:26" s="5" customFormat="1" ht="21" x14ac:dyDescent="0.4">
      <c r="A71" s="314"/>
      <c r="B71" s="287"/>
      <c r="C71" s="274"/>
      <c r="D71" s="270"/>
      <c r="E71" s="262"/>
      <c r="F71" s="276"/>
      <c r="G71" s="119"/>
      <c r="H71" s="277"/>
      <c r="I71" s="119"/>
      <c r="J71" s="237"/>
      <c r="K71" s="119"/>
      <c r="L71" s="267"/>
      <c r="M71" s="259"/>
    </row>
    <row r="72" spans="1:26" s="5" customFormat="1" ht="17.399999999999999" x14ac:dyDescent="0.3">
      <c r="A72" s="314"/>
      <c r="B72" s="1081" t="s">
        <v>239</v>
      </c>
      <c r="C72" s="1082"/>
      <c r="D72" s="1082"/>
      <c r="E72" s="262"/>
      <c r="F72" s="276"/>
      <c r="G72" s="119"/>
      <c r="H72" s="277"/>
      <c r="I72" s="119"/>
      <c r="J72" s="237"/>
      <c r="K72" s="119"/>
      <c r="L72" s="267"/>
      <c r="M72" s="259"/>
    </row>
    <row r="73" spans="1:26" s="5" customFormat="1" ht="21" x14ac:dyDescent="0.4">
      <c r="A73" s="314"/>
      <c r="B73" s="287"/>
      <c r="C73" s="941" t="s">
        <v>229</v>
      </c>
      <c r="D73" s="942"/>
      <c r="E73" s="262"/>
      <c r="F73" s="276">
        <f>IF('Gårdens info'!$D$30&gt;0,J73/'Gårdens info'!$D$30,0)</f>
        <v>0</v>
      </c>
      <c r="G73" s="119" t="s">
        <v>57</v>
      </c>
      <c r="H73" s="502">
        <f>IF('Gårdens info'!$G$30&gt;0,F73/'Gårdens info'!$G$30,0)</f>
        <v>0</v>
      </c>
      <c r="I73" s="119" t="s">
        <v>206</v>
      </c>
      <c r="J73" s="237">
        <f>Egendom!AX90</f>
        <v>0</v>
      </c>
      <c r="K73" s="119" t="s">
        <v>665</v>
      </c>
      <c r="L73" s="267"/>
      <c r="M73" s="259"/>
    </row>
    <row r="74" spans="1:26" s="5" customFormat="1" ht="19.95" customHeight="1" x14ac:dyDescent="0.4">
      <c r="A74" s="314"/>
      <c r="B74" s="287"/>
      <c r="C74" s="941" t="s">
        <v>230</v>
      </c>
      <c r="D74" s="942"/>
      <c r="E74" s="262"/>
      <c r="F74" s="276">
        <f>IF('Gårdens info'!$D$30&gt;0,J74/'Gårdens info'!$D$30,0)</f>
        <v>0</v>
      </c>
      <c r="G74" s="119" t="s">
        <v>57</v>
      </c>
      <c r="H74" s="502">
        <f>IF('Gårdens info'!$G$30&gt;0,F74/'Gårdens info'!$G$30,0)</f>
        <v>0</v>
      </c>
      <c r="I74" s="119" t="s">
        <v>206</v>
      </c>
      <c r="J74" s="237">
        <f>Egendom!BV90</f>
        <v>0</v>
      </c>
      <c r="K74" s="119" t="s">
        <v>665</v>
      </c>
      <c r="L74" s="267"/>
      <c r="M74" s="259"/>
    </row>
    <row r="75" spans="1:26" s="5" customFormat="1" ht="17.399999999999999" customHeight="1" x14ac:dyDescent="0.3">
      <c r="A75" s="314"/>
      <c r="B75" s="287"/>
      <c r="C75" s="1108" t="s">
        <v>232</v>
      </c>
      <c r="D75" s="1108"/>
      <c r="E75" s="262"/>
      <c r="F75" s="276">
        <f>IF('Gårdens info'!$D$30&gt;0,J75/'Gårdens info'!$D$30,0)</f>
        <v>0</v>
      </c>
      <c r="G75" s="119" t="s">
        <v>57</v>
      </c>
      <c r="H75" s="502">
        <f>IF('Gårdens info'!$G$30&gt;0,F75/'Gårdens info'!$G$30,0)</f>
        <v>0</v>
      </c>
      <c r="I75" s="119" t="s">
        <v>206</v>
      </c>
      <c r="J75" s="237">
        <f>Egendom!CT90</f>
        <v>0</v>
      </c>
      <c r="K75" s="119" t="s">
        <v>665</v>
      </c>
      <c r="L75" s="267"/>
      <c r="M75" s="259"/>
    </row>
    <row r="76" spans="1:26" s="5" customFormat="1" ht="21" x14ac:dyDescent="0.4">
      <c r="A76" s="314"/>
      <c r="B76" s="287"/>
      <c r="C76" s="941" t="s">
        <v>483</v>
      </c>
      <c r="D76" s="942"/>
      <c r="E76" s="262"/>
      <c r="F76" s="276">
        <f>IF('Gårdens info'!$D$30&gt;0,J76/'Gårdens info'!$D$30,0)</f>
        <v>0</v>
      </c>
      <c r="G76" s="119" t="s">
        <v>57</v>
      </c>
      <c r="H76" s="502">
        <f>IF('Gårdens info'!$G$30&gt;0,F76/'Gårdens info'!$G$30,0)</f>
        <v>0</v>
      </c>
      <c r="I76" s="119" t="s">
        <v>206</v>
      </c>
      <c r="J76" s="237">
        <f>Egendom!DR90</f>
        <v>0</v>
      </c>
      <c r="K76" s="119" t="s">
        <v>665</v>
      </c>
      <c r="L76" s="267"/>
      <c r="M76" s="259"/>
    </row>
    <row r="77" spans="1:26" s="5" customFormat="1" ht="20.399999999999999" x14ac:dyDescent="0.35">
      <c r="A77" s="314"/>
      <c r="B77" s="289"/>
      <c r="C77" s="943" t="s">
        <v>54</v>
      </c>
      <c r="D77" s="944"/>
      <c r="E77" s="262"/>
      <c r="F77" s="280">
        <f>SUM(F73:F76)</f>
        <v>0</v>
      </c>
      <c r="G77" s="119" t="s">
        <v>57</v>
      </c>
      <c r="H77" s="509">
        <f t="shared" ref="H77:J77" si="5">SUM(H73:H76)</f>
        <v>0</v>
      </c>
      <c r="I77" s="119" t="s">
        <v>206</v>
      </c>
      <c r="J77" s="280">
        <f t="shared" si="5"/>
        <v>0</v>
      </c>
      <c r="K77" s="119" t="s">
        <v>665</v>
      </c>
      <c r="L77" s="281"/>
      <c r="M77" s="259"/>
    </row>
    <row r="78" spans="1:26" s="5" customFormat="1" ht="21" x14ac:dyDescent="0.4">
      <c r="A78" s="314"/>
      <c r="B78" s="287"/>
      <c r="C78" s="274"/>
      <c r="D78" s="270"/>
      <c r="E78" s="262"/>
      <c r="F78" s="276"/>
      <c r="G78" s="119"/>
      <c r="H78" s="277"/>
      <c r="I78" s="119"/>
      <c r="J78" s="237"/>
      <c r="K78" s="119"/>
      <c r="L78" s="267"/>
      <c r="M78" s="259"/>
    </row>
    <row r="79" spans="1:26" s="5" customFormat="1" ht="21" x14ac:dyDescent="0.4">
      <c r="A79" s="314"/>
      <c r="B79" s="1084" t="s">
        <v>139</v>
      </c>
      <c r="C79" s="1085"/>
      <c r="D79" s="270"/>
      <c r="E79" s="262"/>
      <c r="F79" s="276"/>
      <c r="G79" s="119"/>
      <c r="H79" s="277"/>
      <c r="I79" s="119"/>
      <c r="J79" s="237"/>
      <c r="K79" s="119"/>
      <c r="L79" s="267"/>
      <c r="M79" s="259"/>
    </row>
    <row r="80" spans="1:26" s="5" customFormat="1" ht="21" x14ac:dyDescent="0.4">
      <c r="A80" s="314"/>
      <c r="B80" s="287"/>
      <c r="C80" s="941" t="s">
        <v>229</v>
      </c>
      <c r="D80" s="942"/>
      <c r="E80" s="262"/>
      <c r="F80" s="276">
        <f>IF('Gårdens info'!$D$30&gt;0,J80/'Gårdens info'!$D$30,0)</f>
        <v>0</v>
      </c>
      <c r="G80" s="119" t="s">
        <v>57</v>
      </c>
      <c r="H80" s="502">
        <f>IF('Gårdens info'!$G$30&gt;0,F80/'Gårdens info'!$G$30,0)</f>
        <v>0</v>
      </c>
      <c r="I80" s="119" t="s">
        <v>206</v>
      </c>
      <c r="J80" s="237">
        <f>Egendom!AX93</f>
        <v>0</v>
      </c>
      <c r="K80" s="119" t="s">
        <v>665</v>
      </c>
      <c r="L80" s="267"/>
      <c r="M80" s="259"/>
    </row>
    <row r="81" spans="1:26" s="5" customFormat="1" ht="19.95" customHeight="1" x14ac:dyDescent="0.4">
      <c r="A81" s="314"/>
      <c r="B81" s="287"/>
      <c r="C81" s="941" t="s">
        <v>230</v>
      </c>
      <c r="D81" s="942"/>
      <c r="E81" s="262"/>
      <c r="F81" s="276">
        <f>IF('Gårdens info'!$D$30&gt;0,J81/'Gårdens info'!$D$30,0)</f>
        <v>0</v>
      </c>
      <c r="G81" s="119" t="s">
        <v>57</v>
      </c>
      <c r="H81" s="502">
        <f>IF('Gårdens info'!$G$30&gt;0,F81/'Gårdens info'!$G$30,0)</f>
        <v>0</v>
      </c>
      <c r="I81" s="119" t="s">
        <v>206</v>
      </c>
      <c r="J81" s="237">
        <f>Egendom!BV93</f>
        <v>0</v>
      </c>
      <c r="K81" s="119" t="s">
        <v>665</v>
      </c>
      <c r="L81" s="267"/>
      <c r="M81" s="259"/>
    </row>
    <row r="82" spans="1:26" s="5" customFormat="1" ht="17.399999999999999" customHeight="1" x14ac:dyDescent="0.3">
      <c r="A82" s="314"/>
      <c r="B82" s="287"/>
      <c r="C82" s="1108" t="s">
        <v>232</v>
      </c>
      <c r="D82" s="1108"/>
      <c r="E82" s="262"/>
      <c r="F82" s="276">
        <f>IF('Gårdens info'!$D$30&gt;0,J82/'Gårdens info'!$D$30,0)</f>
        <v>0</v>
      </c>
      <c r="G82" s="119" t="s">
        <v>57</v>
      </c>
      <c r="H82" s="502">
        <f>IF('Gårdens info'!$G$30&gt;0,F82/'Gårdens info'!$G$30,0)</f>
        <v>0</v>
      </c>
      <c r="I82" s="119" t="s">
        <v>206</v>
      </c>
      <c r="J82" s="237">
        <f>Egendom!CT93</f>
        <v>0</v>
      </c>
      <c r="K82" s="119" t="s">
        <v>665</v>
      </c>
      <c r="L82" s="267"/>
      <c r="M82" s="259"/>
    </row>
    <row r="83" spans="1:26" s="5" customFormat="1" ht="18" x14ac:dyDescent="0.35">
      <c r="A83" s="314"/>
      <c r="B83" s="286"/>
      <c r="C83" s="943" t="s">
        <v>54</v>
      </c>
      <c r="D83" s="261"/>
      <c r="E83" s="261"/>
      <c r="F83" s="280">
        <f>SUM(F80:F82)</f>
        <v>0</v>
      </c>
      <c r="G83" s="119" t="s">
        <v>57</v>
      </c>
      <c r="H83" s="509">
        <f t="shared" ref="H83:J83" si="6">SUM(H80:H82)</f>
        <v>0</v>
      </c>
      <c r="I83" s="119" t="s">
        <v>206</v>
      </c>
      <c r="J83" s="280">
        <f t="shared" si="6"/>
        <v>0</v>
      </c>
      <c r="K83" s="119" t="s">
        <v>665</v>
      </c>
      <c r="L83" s="284"/>
      <c r="M83" s="290"/>
    </row>
    <row r="84" spans="1:26" s="5" customFormat="1" ht="21" x14ac:dyDescent="0.4">
      <c r="A84" s="314"/>
      <c r="B84" s="1061" t="s">
        <v>191</v>
      </c>
      <c r="C84" s="1043"/>
      <c r="D84" s="1043"/>
      <c r="E84" s="262"/>
      <c r="F84" s="266">
        <f>F63+F70+F77+F83</f>
        <v>0</v>
      </c>
      <c r="G84" s="267" t="s">
        <v>57</v>
      </c>
      <c r="H84" s="507">
        <f>H63+H70+H77+H83</f>
        <v>0</v>
      </c>
      <c r="I84" s="267" t="s">
        <v>206</v>
      </c>
      <c r="J84" s="269">
        <f>J63+J70+J77+J83</f>
        <v>0</v>
      </c>
      <c r="K84" s="267" t="s">
        <v>665</v>
      </c>
      <c r="L84" s="267"/>
      <c r="M84" s="259"/>
    </row>
    <row r="85" spans="1:26" s="5" customFormat="1" ht="15.6" x14ac:dyDescent="0.3">
      <c r="A85" s="314"/>
      <c r="B85" s="286"/>
      <c r="C85" s="262"/>
      <c r="D85" s="262"/>
      <c r="E85" s="262"/>
      <c r="F85" s="263"/>
      <c r="G85" s="243"/>
      <c r="H85" s="264"/>
      <c r="I85" s="243"/>
      <c r="J85" s="258"/>
      <c r="K85" s="243"/>
      <c r="L85" s="265"/>
      <c r="M85" s="259"/>
    </row>
    <row r="86" spans="1:26" s="5" customFormat="1" ht="21" x14ac:dyDescent="0.4">
      <c r="A86" s="314"/>
      <c r="B86" s="257" t="s">
        <v>192</v>
      </c>
      <c r="C86" s="262"/>
      <c r="D86" s="262"/>
      <c r="E86" s="262"/>
      <c r="F86" s="263"/>
      <c r="G86" s="243"/>
      <c r="H86" s="264"/>
      <c r="I86" s="243"/>
      <c r="J86" s="258"/>
      <c r="K86" s="243"/>
      <c r="L86" s="265"/>
      <c r="M86" s="259"/>
    </row>
    <row r="87" spans="1:26" s="5" customFormat="1" ht="17.399999999999999" x14ac:dyDescent="0.3">
      <c r="A87" s="314"/>
      <c r="B87" s="1143" t="s">
        <v>564</v>
      </c>
      <c r="C87" s="1144"/>
      <c r="D87" s="1144"/>
      <c r="E87" s="120"/>
      <c r="F87" s="120"/>
      <c r="G87" s="120"/>
      <c r="H87" s="120"/>
      <c r="I87" s="120"/>
      <c r="J87" s="233"/>
      <c r="K87" s="120"/>
      <c r="L87" s="120"/>
      <c r="M87" s="234"/>
    </row>
    <row r="88" spans="1:26" s="5" customFormat="1" ht="15" x14ac:dyDescent="0.25">
      <c r="A88" s="314"/>
      <c r="B88" s="235"/>
      <c r="C88" s="228" t="s">
        <v>192</v>
      </c>
      <c r="D88" s="236"/>
      <c r="E88" s="236"/>
      <c r="F88" s="237">
        <f>IF('Gårdens info'!D30&gt;0,H178/'Gårdens info'!I30,0)</f>
        <v>0</v>
      </c>
      <c r="G88" s="119" t="s">
        <v>57</v>
      </c>
      <c r="H88" s="503">
        <f>IF('Gårdens info'!G30&gt;0,F88/'Gårdens info'!$G$30,0)</f>
        <v>0</v>
      </c>
      <c r="I88" s="119" t="s">
        <v>206</v>
      </c>
      <c r="J88" s="237">
        <f>F88*'Gårdens info'!D30</f>
        <v>0</v>
      </c>
      <c r="K88" s="119" t="s">
        <v>665</v>
      </c>
      <c r="L88" s="236"/>
      <c r="M88" s="239"/>
    </row>
    <row r="89" spans="1:26" s="5" customFormat="1" ht="15.6" x14ac:dyDescent="0.3">
      <c r="A89" s="314"/>
      <c r="B89" s="286"/>
      <c r="C89" s="262"/>
      <c r="D89" s="262"/>
      <c r="E89" s="262"/>
      <c r="F89" s="263"/>
      <c r="G89" s="243"/>
      <c r="H89" s="264"/>
      <c r="I89" s="243"/>
      <c r="J89" s="258"/>
      <c r="K89" s="243"/>
      <c r="L89" s="265"/>
      <c r="M89" s="259"/>
    </row>
    <row r="90" spans="1:26" s="5" customFormat="1" ht="17.399999999999999" x14ac:dyDescent="0.3">
      <c r="A90" s="314"/>
      <c r="B90" s="1146" t="s">
        <v>240</v>
      </c>
      <c r="C90" s="1147"/>
      <c r="D90" s="1147"/>
      <c r="E90" s="249"/>
      <c r="F90" s="250"/>
      <c r="G90" s="120"/>
      <c r="H90" s="249"/>
      <c r="I90" s="249"/>
      <c r="J90" s="249"/>
      <c r="K90" s="249"/>
      <c r="L90" s="249"/>
      <c r="M90" s="234"/>
    </row>
    <row r="91" spans="1:26" s="5" customFormat="1" ht="15" x14ac:dyDescent="0.25">
      <c r="A91" s="314"/>
      <c r="B91" s="235"/>
      <c r="C91" s="228" t="s">
        <v>192</v>
      </c>
      <c r="D91" s="236"/>
      <c r="E91" s="236"/>
      <c r="F91" s="237">
        <f>IF('Gårdens info'!D30&gt;0,H277,0)</f>
        <v>0</v>
      </c>
      <c r="G91" s="119" t="s">
        <v>57</v>
      </c>
      <c r="H91" s="503">
        <f>IF('Gårdens info'!G30&gt;0,F91/'Gårdens info'!$G$30,0)</f>
        <v>0</v>
      </c>
      <c r="I91" s="119" t="s">
        <v>206</v>
      </c>
      <c r="J91" s="237">
        <f>F91*'Gårdens info'!D30</f>
        <v>0</v>
      </c>
      <c r="K91" s="119" t="s">
        <v>665</v>
      </c>
      <c r="L91" s="236"/>
      <c r="M91" s="239"/>
    </row>
    <row r="92" spans="1:26" s="194" customFormat="1" ht="17.399999999999999" x14ac:dyDescent="0.3">
      <c r="A92" s="318"/>
      <c r="B92" s="248"/>
      <c r="C92" s="245"/>
      <c r="D92" s="249"/>
      <c r="E92" s="249"/>
      <c r="F92" s="250"/>
      <c r="G92" s="120"/>
      <c r="H92" s="249"/>
      <c r="I92" s="249"/>
      <c r="J92" s="249"/>
      <c r="K92" s="249"/>
      <c r="L92" s="249"/>
      <c r="M92" s="234"/>
      <c r="N92" s="5"/>
      <c r="O92" s="5"/>
      <c r="P92" s="5"/>
      <c r="Q92" s="5"/>
      <c r="R92" s="5"/>
      <c r="S92" s="5"/>
      <c r="T92" s="5"/>
      <c r="U92" s="5"/>
      <c r="Y92" s="5"/>
      <c r="Z92" s="5"/>
    </row>
    <row r="93" spans="1:26" s="5" customFormat="1" ht="17.399999999999999" x14ac:dyDescent="0.3">
      <c r="A93" s="314"/>
      <c r="B93" s="1146" t="s">
        <v>581</v>
      </c>
      <c r="C93" s="1147"/>
      <c r="D93" s="1147"/>
      <c r="E93" s="246"/>
      <c r="F93" s="246"/>
      <c r="G93" s="246"/>
      <c r="H93" s="246"/>
      <c r="I93" s="246"/>
      <c r="J93" s="246"/>
      <c r="K93" s="246"/>
      <c r="L93" s="246"/>
      <c r="M93" s="226"/>
      <c r="N93" s="194"/>
      <c r="O93" s="194"/>
      <c r="P93" s="194"/>
      <c r="Q93" s="194"/>
      <c r="R93" s="194"/>
      <c r="S93" s="194"/>
      <c r="T93" s="194"/>
      <c r="U93" s="194"/>
    </row>
    <row r="94" spans="1:26" s="5" customFormat="1" ht="15.6" x14ac:dyDescent="0.3">
      <c r="A94" s="314"/>
      <c r="B94" s="235"/>
      <c r="C94" s="228" t="s">
        <v>192</v>
      </c>
      <c r="D94" s="236"/>
      <c r="E94" s="236"/>
      <c r="F94" s="237">
        <f>IF('Gårdens info'!D30&gt;0,H328/'Gårdens info'!I30,0)</f>
        <v>0</v>
      </c>
      <c r="G94" s="119" t="s">
        <v>57</v>
      </c>
      <c r="H94" s="503">
        <f>IF('Gårdens info'!G30&gt;0,F94/'Gårdens info'!$G$30,0)</f>
        <v>0</v>
      </c>
      <c r="I94" s="119" t="s">
        <v>206</v>
      </c>
      <c r="J94" s="237">
        <f>F94*'Gårdens info'!D30</f>
        <v>0</v>
      </c>
      <c r="K94" s="119" t="s">
        <v>665</v>
      </c>
      <c r="L94" s="236"/>
      <c r="M94" s="239"/>
      <c r="Y94" s="194"/>
      <c r="Z94" s="194"/>
    </row>
    <row r="95" spans="1:26" s="5" customFormat="1" ht="21" customHeight="1" x14ac:dyDescent="0.4">
      <c r="A95" s="314"/>
      <c r="B95" s="345" t="s">
        <v>194</v>
      </c>
      <c r="C95" s="346"/>
      <c r="D95" s="346"/>
      <c r="E95" s="262"/>
      <c r="F95" s="266">
        <f>F88+F91+F94</f>
        <v>0</v>
      </c>
      <c r="G95" s="267" t="s">
        <v>57</v>
      </c>
      <c r="H95" s="507">
        <f>H88+H91+H94</f>
        <v>0</v>
      </c>
      <c r="I95" s="267" t="s">
        <v>206</v>
      </c>
      <c r="J95" s="269">
        <f>J88+J91+J94</f>
        <v>0</v>
      </c>
      <c r="K95" s="267" t="s">
        <v>665</v>
      </c>
      <c r="L95" s="267"/>
      <c r="M95" s="259"/>
    </row>
    <row r="96" spans="1:26" s="5" customFormat="1" ht="21" x14ac:dyDescent="0.4">
      <c r="A96" s="314"/>
      <c r="B96" s="288"/>
      <c r="C96" s="270"/>
      <c r="D96" s="270"/>
      <c r="E96" s="262"/>
      <c r="F96" s="266"/>
      <c r="G96" s="267"/>
      <c r="H96" s="507"/>
      <c r="I96" s="267"/>
      <c r="J96" s="269"/>
      <c r="K96" s="267"/>
      <c r="L96" s="267"/>
      <c r="M96" s="259"/>
    </row>
    <row r="97" spans="1:26" s="5" customFormat="1" ht="21" x14ac:dyDescent="0.4">
      <c r="A97" s="314"/>
      <c r="B97" s="1061" t="s">
        <v>195</v>
      </c>
      <c r="C97" s="1043"/>
      <c r="D97" s="1043"/>
      <c r="E97" s="262"/>
      <c r="F97" s="266">
        <f>F55+F84+F95</f>
        <v>0</v>
      </c>
      <c r="G97" s="267" t="s">
        <v>57</v>
      </c>
      <c r="H97" s="572">
        <f>H55+H84+H95</f>
        <v>0</v>
      </c>
      <c r="I97" s="267" t="s">
        <v>206</v>
      </c>
      <c r="J97" s="266">
        <f>J55+J84+J95</f>
        <v>0</v>
      </c>
      <c r="K97" s="267" t="s">
        <v>665</v>
      </c>
      <c r="L97" s="267"/>
      <c r="M97" s="259"/>
    </row>
    <row r="98" spans="1:26" s="56" customFormat="1" ht="21" x14ac:dyDescent="0.4">
      <c r="A98" s="315"/>
      <c r="B98" s="288"/>
      <c r="C98" s="270"/>
      <c r="D98" s="270"/>
      <c r="E98" s="262"/>
      <c r="F98" s="266"/>
      <c r="G98" s="267"/>
      <c r="H98" s="268"/>
      <c r="I98" s="267"/>
      <c r="J98" s="269"/>
      <c r="K98" s="267"/>
      <c r="L98" s="267"/>
      <c r="M98" s="259"/>
      <c r="N98" s="5"/>
      <c r="O98" s="5"/>
      <c r="P98" s="5"/>
      <c r="Q98" s="5"/>
      <c r="R98" s="5"/>
      <c r="S98" s="5"/>
      <c r="T98" s="5"/>
      <c r="U98" s="5"/>
      <c r="Y98" s="5"/>
      <c r="Z98" s="5"/>
    </row>
    <row r="99" spans="1:26" s="69" customFormat="1" ht="21.6" thickBot="1" x14ac:dyDescent="0.45">
      <c r="A99" s="316"/>
      <c r="B99" s="1059" t="s">
        <v>198</v>
      </c>
      <c r="C99" s="1060"/>
      <c r="D99" s="1060"/>
      <c r="E99" s="253"/>
      <c r="F99" s="292">
        <f>F11-F55-F84-F95</f>
        <v>0</v>
      </c>
      <c r="G99" s="293" t="s">
        <v>57</v>
      </c>
      <c r="H99" s="510">
        <f>H11-H55-H84-H95</f>
        <v>9.74</v>
      </c>
      <c r="I99" s="293" t="s">
        <v>206</v>
      </c>
      <c r="J99" s="292">
        <f>J11-J55-J84-J95</f>
        <v>0</v>
      </c>
      <c r="K99" s="293" t="s">
        <v>665</v>
      </c>
      <c r="L99" s="293"/>
      <c r="M99" s="254"/>
      <c r="N99" s="56"/>
      <c r="O99" s="56"/>
      <c r="P99" s="56"/>
      <c r="Q99" s="56"/>
      <c r="R99" s="56"/>
      <c r="S99" s="56"/>
      <c r="T99" s="56"/>
      <c r="U99" s="56"/>
      <c r="Y99" s="5"/>
      <c r="Z99" s="5"/>
    </row>
    <row r="100" spans="1:26" s="5" customFormat="1" ht="21.6" thickBot="1" x14ac:dyDescent="0.45">
      <c r="A100" s="314"/>
      <c r="B100" s="444"/>
      <c r="C100" s="116"/>
      <c r="D100" s="116"/>
      <c r="E100" s="116"/>
      <c r="F100" s="116"/>
      <c r="G100" s="116"/>
      <c r="H100" s="116"/>
      <c r="I100" s="116"/>
      <c r="J100" s="116"/>
      <c r="K100" s="116"/>
      <c r="L100" s="116"/>
      <c r="M100" s="116"/>
      <c r="N100" s="69"/>
      <c r="O100" s="69"/>
      <c r="P100" s="69"/>
      <c r="Q100" s="69"/>
      <c r="R100" s="69"/>
      <c r="S100" s="69"/>
      <c r="T100" s="69"/>
      <c r="U100" s="69"/>
      <c r="Y100" s="56"/>
      <c r="Z100" s="56"/>
    </row>
    <row r="101" spans="1:26" s="56" customFormat="1" ht="21.6" thickBot="1" x14ac:dyDescent="0.45">
      <c r="A101" s="315"/>
      <c r="B101" s="1129" t="s">
        <v>564</v>
      </c>
      <c r="C101" s="1130"/>
      <c r="D101" s="1130"/>
      <c r="E101" s="1131"/>
      <c r="F101" s="116"/>
      <c r="G101" s="116"/>
      <c r="H101" s="116"/>
      <c r="I101" s="116"/>
      <c r="J101" s="1140" t="s">
        <v>645</v>
      </c>
      <c r="K101" s="1140"/>
      <c r="L101" s="1140"/>
      <c r="M101" s="116"/>
      <c r="N101" s="5"/>
      <c r="O101" s="5"/>
      <c r="P101" s="5"/>
      <c r="Q101" s="5"/>
      <c r="R101" s="5"/>
      <c r="S101" s="5"/>
      <c r="T101" s="5"/>
      <c r="U101" s="5"/>
      <c r="Y101" s="69"/>
      <c r="Z101" s="69"/>
    </row>
    <row r="102" spans="1:26" s="69" customFormat="1" ht="21" x14ac:dyDescent="0.4">
      <c r="A102" s="316"/>
      <c r="B102" s="438"/>
      <c r="C102" s="438"/>
      <c r="D102" s="438"/>
      <c r="E102" s="438"/>
      <c r="F102" s="116"/>
      <c r="G102" s="116"/>
      <c r="H102" s="116"/>
      <c r="I102" s="116"/>
      <c r="J102" s="116"/>
      <c r="K102" s="116"/>
      <c r="L102" s="116"/>
      <c r="M102" s="116"/>
      <c r="N102" s="56"/>
      <c r="O102" s="56"/>
      <c r="P102" s="56"/>
      <c r="Q102" s="56"/>
      <c r="R102" s="56"/>
      <c r="S102" s="56"/>
      <c r="T102" s="56"/>
      <c r="U102" s="56"/>
      <c r="Y102" s="5"/>
      <c r="Z102" s="5"/>
    </row>
    <row r="103" spans="1:26" s="5" customFormat="1" ht="17.399999999999999" x14ac:dyDescent="0.3">
      <c r="A103" s="314"/>
      <c r="B103" s="89" t="s">
        <v>592</v>
      </c>
      <c r="C103" s="44"/>
      <c r="D103" s="44"/>
      <c r="E103" s="44"/>
      <c r="F103" s="1077" t="s">
        <v>114</v>
      </c>
      <c r="G103" s="1077"/>
      <c r="H103" s="1077" t="s">
        <v>113</v>
      </c>
      <c r="I103" s="1077"/>
      <c r="J103" s="1077" t="s">
        <v>243</v>
      </c>
      <c r="K103" s="1077"/>
      <c r="L103" s="111" t="s">
        <v>244</v>
      </c>
      <c r="M103" s="46"/>
      <c r="N103" s="69"/>
      <c r="O103" s="69"/>
      <c r="P103" s="69"/>
      <c r="Q103" s="69"/>
      <c r="R103" s="69"/>
      <c r="S103" s="69"/>
      <c r="T103" s="69"/>
      <c r="U103" s="69"/>
      <c r="Y103" s="56"/>
      <c r="Z103" s="56"/>
    </row>
    <row r="104" spans="1:26" s="56" customFormat="1" ht="18" thickBot="1" x14ac:dyDescent="0.35">
      <c r="A104" s="315"/>
      <c r="B104" s="48"/>
      <c r="C104" s="44"/>
      <c r="D104" s="44"/>
      <c r="E104" s="44"/>
      <c r="F104" s="44"/>
      <c r="G104" s="44"/>
      <c r="H104" s="44"/>
      <c r="I104" s="44"/>
      <c r="J104" s="46"/>
      <c r="K104" s="46"/>
      <c r="L104" s="46"/>
      <c r="M104" s="46"/>
      <c r="N104" s="5"/>
      <c r="O104" s="5"/>
      <c r="P104" s="5"/>
      <c r="Q104" s="5"/>
      <c r="R104" s="5"/>
      <c r="S104" s="5"/>
      <c r="T104" s="5"/>
      <c r="U104" s="5"/>
      <c r="Y104" s="69"/>
      <c r="Z104" s="69"/>
    </row>
    <row r="105" spans="1:26" s="69" customFormat="1" ht="18" thickBot="1" x14ac:dyDescent="0.35">
      <c r="A105" s="316"/>
      <c r="B105" s="44"/>
      <c r="C105" s="45" t="s">
        <v>670</v>
      </c>
      <c r="D105" s="46"/>
      <c r="E105" s="44"/>
      <c r="F105" s="94">
        <v>6000</v>
      </c>
      <c r="G105" s="44" t="s">
        <v>647</v>
      </c>
      <c r="H105" s="73">
        <v>0.65</v>
      </c>
      <c r="I105" s="49" t="s">
        <v>74</v>
      </c>
      <c r="J105" s="191">
        <f>F105*H105</f>
        <v>3900</v>
      </c>
      <c r="K105" s="44" t="s">
        <v>57</v>
      </c>
      <c r="L105" s="44" t="s">
        <v>671</v>
      </c>
      <c r="M105" s="46"/>
      <c r="N105" s="56"/>
      <c r="O105" s="56"/>
      <c r="P105" s="56"/>
      <c r="Q105" s="56"/>
      <c r="R105" s="56"/>
      <c r="S105" s="56"/>
      <c r="T105" s="56"/>
      <c r="U105" s="56"/>
      <c r="Y105" s="5"/>
      <c r="Z105" s="5"/>
    </row>
    <row r="106" spans="1:26" s="56" customFormat="1" ht="15" customHeight="1" thickBot="1" x14ac:dyDescent="0.35">
      <c r="A106" s="315"/>
      <c r="B106" s="44"/>
      <c r="C106" s="44" t="s">
        <v>596</v>
      </c>
      <c r="D106" s="45"/>
      <c r="E106" s="44"/>
      <c r="F106" s="94"/>
      <c r="G106" s="44" t="s">
        <v>647</v>
      </c>
      <c r="H106" s="73"/>
      <c r="I106" s="49" t="s">
        <v>74</v>
      </c>
      <c r="J106" s="191">
        <f t="shared" ref="J106:J109" si="7">F106*H106</f>
        <v>0</v>
      </c>
      <c r="K106" s="44" t="s">
        <v>57</v>
      </c>
      <c r="L106" s="46"/>
      <c r="M106" s="46"/>
      <c r="N106" s="69"/>
      <c r="O106" s="69"/>
      <c r="P106" s="69"/>
      <c r="Q106" s="69"/>
      <c r="R106" s="69"/>
      <c r="S106" s="69"/>
      <c r="T106" s="69"/>
      <c r="U106" s="69"/>
    </row>
    <row r="107" spans="1:26" ht="18" thickBot="1" x14ac:dyDescent="0.35">
      <c r="B107" s="44"/>
      <c r="C107" s="44" t="s">
        <v>596</v>
      </c>
      <c r="D107" s="45"/>
      <c r="E107" s="44"/>
      <c r="F107" s="94"/>
      <c r="G107" s="44" t="s">
        <v>647</v>
      </c>
      <c r="H107" s="73"/>
      <c r="I107" s="49" t="s">
        <v>74</v>
      </c>
      <c r="J107" s="191">
        <f t="shared" si="7"/>
        <v>0</v>
      </c>
      <c r="K107" s="44" t="s">
        <v>57</v>
      </c>
      <c r="L107" s="46"/>
      <c r="M107" s="46"/>
      <c r="N107" s="56"/>
      <c r="O107" s="56"/>
      <c r="P107" s="56"/>
      <c r="Q107" s="56"/>
      <c r="R107" s="56"/>
      <c r="S107" s="56"/>
      <c r="T107" s="56"/>
      <c r="U107" s="56"/>
      <c r="Y107" s="69"/>
      <c r="Z107" s="69"/>
    </row>
    <row r="108" spans="1:26" s="69" customFormat="1" ht="18" thickBot="1" x14ac:dyDescent="0.35">
      <c r="A108" s="316"/>
      <c r="B108" s="44"/>
      <c r="C108" s="44"/>
      <c r="D108" s="50"/>
      <c r="E108" s="44"/>
      <c r="F108" s="44"/>
      <c r="G108" s="44"/>
      <c r="H108" s="49"/>
      <c r="I108" s="49"/>
      <c r="J108" s="191"/>
      <c r="K108" s="44"/>
      <c r="L108" s="46"/>
      <c r="M108" s="46"/>
      <c r="N108"/>
      <c r="O108"/>
      <c r="P108"/>
      <c r="Q108"/>
      <c r="R108"/>
      <c r="S108"/>
      <c r="T108"/>
      <c r="U108"/>
      <c r="Y108" s="56"/>
      <c r="Z108" s="56"/>
    </row>
    <row r="109" spans="1:26" s="5" customFormat="1" ht="15.6" thickBot="1" x14ac:dyDescent="0.3">
      <c r="A109" s="314"/>
      <c r="B109" s="44"/>
      <c r="C109" s="44" t="s">
        <v>597</v>
      </c>
      <c r="D109" s="50"/>
      <c r="E109" s="44"/>
      <c r="F109" s="94">
        <v>20</v>
      </c>
      <c r="G109" s="44" t="s">
        <v>8</v>
      </c>
      <c r="H109" s="77">
        <v>4</v>
      </c>
      <c r="I109" s="49" t="s">
        <v>206</v>
      </c>
      <c r="J109" s="191">
        <f t="shared" si="7"/>
        <v>80</v>
      </c>
      <c r="K109" s="44" t="s">
        <v>57</v>
      </c>
      <c r="L109" s="46"/>
      <c r="M109" s="46"/>
      <c r="N109" s="69"/>
      <c r="O109" s="69"/>
      <c r="P109" s="69"/>
      <c r="Q109" s="69"/>
      <c r="R109" s="69"/>
      <c r="S109" s="69"/>
      <c r="T109" s="69"/>
      <c r="U109" s="69"/>
      <c r="Y109"/>
      <c r="Z109"/>
    </row>
    <row r="110" spans="1:26" s="5" customFormat="1" ht="15.6" thickBot="1" x14ac:dyDescent="0.3">
      <c r="A110" s="314"/>
      <c r="B110" s="44"/>
      <c r="C110" s="44" t="s">
        <v>598</v>
      </c>
      <c r="D110" s="50"/>
      <c r="E110" s="44"/>
      <c r="F110" s="94"/>
      <c r="G110" s="44" t="s">
        <v>8</v>
      </c>
      <c r="H110" s="77"/>
      <c r="I110" s="49" t="s">
        <v>206</v>
      </c>
      <c r="J110" s="191"/>
      <c r="K110" s="44" t="s">
        <v>57</v>
      </c>
      <c r="L110" s="46"/>
      <c r="M110" s="46"/>
      <c r="Y110" s="69"/>
      <c r="Z110" s="69"/>
    </row>
    <row r="111" spans="1:26" s="5" customFormat="1" x14ac:dyDescent="0.25">
      <c r="A111" s="314"/>
      <c r="B111" s="50"/>
      <c r="C111" s="50" t="s">
        <v>54</v>
      </c>
      <c r="D111" s="50"/>
      <c r="E111" s="50"/>
      <c r="F111" s="218"/>
      <c r="G111" s="50"/>
      <c r="H111" s="219"/>
      <c r="I111" s="219"/>
      <c r="J111" s="220">
        <f>SUM(J105:J110)</f>
        <v>3980</v>
      </c>
      <c r="K111" s="50" t="s">
        <v>57</v>
      </c>
      <c r="L111" s="50"/>
      <c r="M111" s="50"/>
    </row>
    <row r="112" spans="1:26" ht="57" customHeight="1" x14ac:dyDescent="0.25">
      <c r="B112" s="44"/>
      <c r="C112" s="44"/>
      <c r="D112" s="50"/>
      <c r="E112" s="44"/>
      <c r="F112" s="47"/>
      <c r="G112" s="44"/>
      <c r="H112" s="49"/>
      <c r="I112" s="49"/>
      <c r="J112" s="46"/>
      <c r="K112" s="44"/>
      <c r="L112" s="46"/>
      <c r="M112" s="46"/>
      <c r="N112" s="5"/>
      <c r="O112" s="5"/>
      <c r="P112" s="5"/>
      <c r="Q112" s="5"/>
      <c r="R112" s="5"/>
      <c r="S112" s="5"/>
      <c r="T112" s="5"/>
      <c r="U112" s="5"/>
      <c r="Y112" s="5"/>
      <c r="Z112" s="5"/>
    </row>
    <row r="113" spans="1:26" ht="22.95" customHeight="1" x14ac:dyDescent="0.25">
      <c r="B113" s="435"/>
      <c r="C113" s="435"/>
      <c r="D113" s="436"/>
      <c r="E113" s="435"/>
      <c r="F113" s="435"/>
      <c r="G113" s="435"/>
      <c r="H113" s="437"/>
      <c r="I113" s="437"/>
      <c r="J113" s="116"/>
      <c r="K113" s="116"/>
      <c r="L113" s="116"/>
      <c r="M113" s="116"/>
      <c r="Y113" s="5"/>
      <c r="Z113" s="5"/>
    </row>
    <row r="114" spans="1:26" ht="28.2" customHeight="1" x14ac:dyDescent="0.3">
      <c r="B114" s="96" t="s">
        <v>672</v>
      </c>
      <c r="C114" s="97"/>
      <c r="D114" s="97"/>
      <c r="E114" s="97"/>
      <c r="F114" s="1074" t="s">
        <v>114</v>
      </c>
      <c r="G114" s="1074"/>
      <c r="H114" s="1074" t="s">
        <v>113</v>
      </c>
      <c r="I114" s="1074"/>
      <c r="J114" s="1074" t="s">
        <v>243</v>
      </c>
      <c r="K114" s="1074"/>
      <c r="L114" s="99"/>
      <c r="M114" s="99"/>
    </row>
    <row r="115" spans="1:26" ht="13.8" thickBot="1" x14ac:dyDescent="0.3">
      <c r="B115" s="97"/>
      <c r="C115" s="97"/>
      <c r="D115" s="97"/>
      <c r="E115" s="97"/>
      <c r="F115" s="97"/>
      <c r="G115" s="97"/>
      <c r="H115" s="98"/>
      <c r="I115" s="98"/>
      <c r="J115" s="99"/>
      <c r="K115" s="99"/>
      <c r="L115" s="99"/>
      <c r="M115" s="99"/>
    </row>
    <row r="116" spans="1:26" ht="13.8" thickBot="1" x14ac:dyDescent="0.3">
      <c r="B116" s="97"/>
      <c r="C116" s="97" t="s">
        <v>600</v>
      </c>
      <c r="D116" s="99"/>
      <c r="E116" s="97"/>
      <c r="F116" s="94">
        <v>200</v>
      </c>
      <c r="G116" s="97" t="s">
        <v>212</v>
      </c>
      <c r="H116" s="77">
        <v>0.95</v>
      </c>
      <c r="I116" s="98" t="s">
        <v>206</v>
      </c>
      <c r="J116" s="190">
        <f>F116*H116</f>
        <v>190</v>
      </c>
      <c r="K116" s="97" t="s">
        <v>57</v>
      </c>
      <c r="L116" s="99"/>
      <c r="M116" s="99"/>
    </row>
    <row r="117" spans="1:26" ht="13.8" thickBot="1" x14ac:dyDescent="0.3">
      <c r="B117" s="97"/>
      <c r="C117" s="97" t="s">
        <v>673</v>
      </c>
      <c r="D117" s="99"/>
      <c r="E117" s="97"/>
      <c r="F117" s="94"/>
      <c r="G117" s="97" t="s">
        <v>674</v>
      </c>
      <c r="H117" s="77">
        <v>13</v>
      </c>
      <c r="I117" s="98" t="s">
        <v>415</v>
      </c>
      <c r="J117" s="190">
        <f t="shared" ref="J117:J119" si="8">F117*H117</f>
        <v>0</v>
      </c>
      <c r="K117" s="97" t="s">
        <v>57</v>
      </c>
      <c r="L117" s="99"/>
      <c r="M117" s="99"/>
    </row>
    <row r="118" spans="1:26" ht="13.8" thickBot="1" x14ac:dyDescent="0.3">
      <c r="B118" s="97"/>
      <c r="C118" s="97" t="s">
        <v>251</v>
      </c>
      <c r="D118" s="97"/>
      <c r="E118" s="97"/>
      <c r="F118" s="74"/>
      <c r="G118" s="97" t="s">
        <v>212</v>
      </c>
      <c r="H118" s="77"/>
      <c r="I118" s="98" t="s">
        <v>206</v>
      </c>
      <c r="J118" s="190">
        <f t="shared" si="8"/>
        <v>0</v>
      </c>
      <c r="K118" s="97" t="s">
        <v>57</v>
      </c>
      <c r="L118" s="99"/>
      <c r="M118" s="99"/>
    </row>
    <row r="119" spans="1:26" ht="13.8" thickBot="1" x14ac:dyDescent="0.3">
      <c r="B119" s="97"/>
      <c r="C119" s="97" t="s">
        <v>251</v>
      </c>
      <c r="D119" s="97"/>
      <c r="E119" s="97"/>
      <c r="F119" s="74"/>
      <c r="G119" s="97" t="s">
        <v>212</v>
      </c>
      <c r="H119" s="76"/>
      <c r="I119" s="98" t="s">
        <v>206</v>
      </c>
      <c r="J119" s="190">
        <f t="shared" si="8"/>
        <v>0</v>
      </c>
      <c r="K119" s="97" t="s">
        <v>57</v>
      </c>
      <c r="L119" s="99"/>
      <c r="M119" s="99"/>
    </row>
    <row r="120" spans="1:26" x14ac:dyDescent="0.25">
      <c r="B120" s="214"/>
      <c r="C120" s="214" t="s">
        <v>54</v>
      </c>
      <c r="D120" s="214"/>
      <c r="E120" s="214"/>
      <c r="F120" s="214"/>
      <c r="G120" s="214"/>
      <c r="H120" s="216"/>
      <c r="I120" s="215"/>
      <c r="J120" s="217">
        <f>SUM(J116:J119)</f>
        <v>190</v>
      </c>
      <c r="K120" s="214" t="s">
        <v>57</v>
      </c>
      <c r="L120" s="214"/>
      <c r="M120" s="214"/>
    </row>
    <row r="121" spans="1:26" x14ac:dyDescent="0.25">
      <c r="B121" s="97"/>
      <c r="C121" s="97"/>
      <c r="D121" s="97"/>
      <c r="E121" s="97"/>
      <c r="F121" s="97"/>
      <c r="G121" s="97"/>
      <c r="H121" s="98"/>
      <c r="I121" s="98"/>
      <c r="J121" s="99"/>
      <c r="K121" s="99"/>
      <c r="L121" s="99"/>
      <c r="M121" s="99"/>
    </row>
    <row r="122" spans="1:26" x14ac:dyDescent="0.25">
      <c r="B122" s="435"/>
      <c r="C122" s="435"/>
      <c r="D122" s="435"/>
      <c r="E122" s="435"/>
      <c r="F122" s="435"/>
      <c r="G122" s="435"/>
      <c r="H122" s="437"/>
      <c r="I122" s="437"/>
      <c r="J122" s="116"/>
      <c r="K122" s="116"/>
      <c r="L122" s="116"/>
      <c r="M122" s="116"/>
    </row>
    <row r="123" spans="1:26" s="5" customFormat="1" ht="15.6" x14ac:dyDescent="0.3">
      <c r="A123" s="314"/>
      <c r="B123" s="85" t="s">
        <v>675</v>
      </c>
      <c r="C123" s="51"/>
      <c r="D123" s="51"/>
      <c r="E123" s="51"/>
      <c r="F123" s="1075" t="s">
        <v>114</v>
      </c>
      <c r="G123" s="1075"/>
      <c r="H123" s="1076" t="s">
        <v>113</v>
      </c>
      <c r="I123" s="1076"/>
      <c r="J123" s="1075" t="s">
        <v>243</v>
      </c>
      <c r="K123" s="1075"/>
      <c r="L123" s="58"/>
      <c r="M123" s="58"/>
      <c r="N123"/>
      <c r="O123"/>
      <c r="P123"/>
      <c r="Q123"/>
      <c r="R123"/>
      <c r="S123"/>
      <c r="T123"/>
      <c r="U123"/>
      <c r="Y123"/>
      <c r="Z123"/>
    </row>
    <row r="124" spans="1:26" ht="15.6" x14ac:dyDescent="0.3">
      <c r="B124" s="85"/>
      <c r="C124" s="51"/>
      <c r="D124" s="387" t="s">
        <v>253</v>
      </c>
      <c r="E124" s="51"/>
      <c r="F124" s="59"/>
      <c r="G124" s="59"/>
      <c r="H124" s="60"/>
      <c r="I124" s="60"/>
      <c r="J124" s="59"/>
      <c r="K124" s="59"/>
      <c r="L124" s="58"/>
      <c r="M124" s="58"/>
      <c r="N124" s="5"/>
      <c r="O124" s="5"/>
      <c r="P124" s="5"/>
      <c r="Q124" s="5"/>
      <c r="R124" s="5"/>
      <c r="S124" s="5"/>
      <c r="T124" s="5"/>
      <c r="U124" s="5"/>
    </row>
    <row r="125" spans="1:26" ht="37.200000000000003" customHeight="1" thickBot="1" x14ac:dyDescent="0.3">
      <c r="B125" s="171" t="s">
        <v>254</v>
      </c>
      <c r="C125" s="51"/>
      <c r="D125" s="51"/>
      <c r="E125" s="51"/>
      <c r="F125" s="53"/>
      <c r="G125" s="53"/>
      <c r="H125" s="52"/>
      <c r="I125" s="52"/>
      <c r="J125" s="58"/>
      <c r="K125" s="58"/>
      <c r="L125" s="58"/>
      <c r="M125" s="58"/>
      <c r="Y125" s="5"/>
      <c r="Z125" s="5"/>
    </row>
    <row r="126" spans="1:26" ht="13.8" thickBot="1" x14ac:dyDescent="0.3">
      <c r="B126" s="51"/>
      <c r="C126" s="51" t="s">
        <v>676</v>
      </c>
      <c r="D126" s="58"/>
      <c r="E126" s="51"/>
      <c r="F126" s="95">
        <v>3.3</v>
      </c>
      <c r="G126" s="53" t="s">
        <v>256</v>
      </c>
      <c r="H126" s="77">
        <v>16.8</v>
      </c>
      <c r="I126" s="52" t="s">
        <v>257</v>
      </c>
      <c r="J126" s="58">
        <f>F126*H126</f>
        <v>55.44</v>
      </c>
      <c r="K126" s="51" t="s">
        <v>57</v>
      </c>
      <c r="L126" s="58"/>
      <c r="M126" s="58"/>
    </row>
    <row r="127" spans="1:26" ht="13.8" thickBot="1" x14ac:dyDescent="0.3">
      <c r="B127" s="51"/>
      <c r="C127" s="51" t="s">
        <v>265</v>
      </c>
      <c r="D127" s="51"/>
      <c r="E127" s="51"/>
      <c r="F127" s="95"/>
      <c r="G127" s="53" t="s">
        <v>256</v>
      </c>
      <c r="H127" s="77"/>
      <c r="I127" s="52" t="s">
        <v>257</v>
      </c>
      <c r="J127" s="58">
        <f t="shared" ref="J127:J133" si="9">F127*H127</f>
        <v>0</v>
      </c>
      <c r="K127" s="51" t="s">
        <v>57</v>
      </c>
      <c r="L127" s="58"/>
      <c r="M127" s="58"/>
    </row>
    <row r="128" spans="1:26" ht="13.8" thickBot="1" x14ac:dyDescent="0.3">
      <c r="B128" s="51"/>
      <c r="C128" s="51" t="s">
        <v>265</v>
      </c>
      <c r="D128" s="51"/>
      <c r="E128" s="51"/>
      <c r="F128" s="95"/>
      <c r="G128" s="53" t="s">
        <v>256</v>
      </c>
      <c r="H128" s="77"/>
      <c r="I128" s="52" t="s">
        <v>257</v>
      </c>
      <c r="J128" s="58">
        <f t="shared" si="9"/>
        <v>0</v>
      </c>
      <c r="K128" s="51" t="s">
        <v>57</v>
      </c>
      <c r="L128" s="58"/>
      <c r="M128" s="58"/>
    </row>
    <row r="129" spans="1:26" x14ac:dyDescent="0.25">
      <c r="B129" s="51"/>
      <c r="C129" s="51"/>
      <c r="D129" s="51"/>
      <c r="E129" s="51"/>
      <c r="F129" s="53"/>
      <c r="G129" s="53"/>
      <c r="H129" s="52"/>
      <c r="I129" s="52"/>
      <c r="J129" s="58"/>
      <c r="K129" s="51"/>
      <c r="L129" s="58"/>
      <c r="M129" s="58"/>
    </row>
    <row r="130" spans="1:26" ht="13.8" thickBot="1" x14ac:dyDescent="0.3">
      <c r="B130" s="171" t="s">
        <v>266</v>
      </c>
      <c r="C130" s="51"/>
      <c r="D130" s="51"/>
      <c r="E130" s="51"/>
      <c r="F130" s="53"/>
      <c r="G130" s="53"/>
      <c r="H130" s="52"/>
      <c r="I130" s="52"/>
      <c r="J130" s="58"/>
      <c r="K130" s="51"/>
      <c r="L130" s="58"/>
      <c r="M130" s="58"/>
    </row>
    <row r="131" spans="1:26" ht="13.8" thickBot="1" x14ac:dyDescent="0.3">
      <c r="B131" s="51"/>
      <c r="C131" s="51" t="s">
        <v>267</v>
      </c>
      <c r="D131" s="51"/>
      <c r="E131" s="51"/>
      <c r="F131" s="95"/>
      <c r="G131" s="53"/>
      <c r="H131" s="95"/>
      <c r="I131" s="52"/>
      <c r="J131" s="58">
        <f t="shared" si="9"/>
        <v>0</v>
      </c>
      <c r="K131" s="51" t="s">
        <v>57</v>
      </c>
      <c r="L131" s="58"/>
      <c r="M131" s="58"/>
    </row>
    <row r="132" spans="1:26" s="5" customFormat="1" ht="13.8" thickBot="1" x14ac:dyDescent="0.3">
      <c r="A132" s="314"/>
      <c r="B132" s="51"/>
      <c r="C132" s="51" t="s">
        <v>267</v>
      </c>
      <c r="D132" s="51"/>
      <c r="E132" s="51"/>
      <c r="F132" s="95"/>
      <c r="G132" s="53"/>
      <c r="H132" s="95"/>
      <c r="I132" s="52"/>
      <c r="J132" s="58">
        <f t="shared" si="9"/>
        <v>0</v>
      </c>
      <c r="K132" s="51" t="s">
        <v>57</v>
      </c>
      <c r="L132" s="58"/>
      <c r="M132" s="58"/>
      <c r="N132"/>
      <c r="O132"/>
      <c r="P132"/>
      <c r="Q132"/>
      <c r="R132"/>
      <c r="S132"/>
      <c r="T132"/>
      <c r="U132"/>
      <c r="Y132"/>
      <c r="Z132"/>
    </row>
    <row r="133" spans="1:26" ht="13.8" thickBot="1" x14ac:dyDescent="0.3">
      <c r="B133" s="51"/>
      <c r="C133" s="51" t="s">
        <v>267</v>
      </c>
      <c r="D133" s="51"/>
      <c r="E133" s="51"/>
      <c r="F133" s="95"/>
      <c r="G133" s="53"/>
      <c r="H133" s="95"/>
      <c r="I133" s="52"/>
      <c r="J133" s="58">
        <f t="shared" si="9"/>
        <v>0</v>
      </c>
      <c r="K133" s="51" t="s">
        <v>57</v>
      </c>
      <c r="L133" s="58"/>
      <c r="M133" s="58"/>
      <c r="N133" s="5"/>
      <c r="O133" s="5"/>
      <c r="P133" s="5"/>
      <c r="Q133" s="5"/>
      <c r="R133" s="5"/>
      <c r="S133" s="5"/>
      <c r="T133" s="5"/>
      <c r="U133" s="5"/>
    </row>
    <row r="134" spans="1:26" ht="33" customHeight="1" x14ac:dyDescent="0.25">
      <c r="B134" s="195"/>
      <c r="C134" s="195" t="s">
        <v>54</v>
      </c>
      <c r="D134" s="195"/>
      <c r="E134" s="195"/>
      <c r="F134" s="196"/>
      <c r="G134" s="196"/>
      <c r="H134" s="196"/>
      <c r="I134" s="197"/>
      <c r="J134" s="195">
        <f>SUM(J126:J133)</f>
        <v>55.44</v>
      </c>
      <c r="K134" s="195" t="s">
        <v>57</v>
      </c>
      <c r="L134" s="195"/>
      <c r="M134" s="195"/>
      <c r="Y134" s="5"/>
      <c r="Z134" s="5"/>
    </row>
    <row r="135" spans="1:26" x14ac:dyDescent="0.25">
      <c r="B135" s="51"/>
      <c r="C135" s="51"/>
      <c r="D135" s="51"/>
      <c r="E135" s="51"/>
      <c r="F135" s="53"/>
      <c r="G135" s="53"/>
      <c r="H135" s="52"/>
      <c r="I135" s="52"/>
      <c r="J135" s="58"/>
      <c r="K135" s="51"/>
      <c r="L135" s="58"/>
      <c r="M135" s="58"/>
    </row>
    <row r="136" spans="1:26" x14ac:dyDescent="0.25">
      <c r="B136" s="435"/>
      <c r="C136" s="435"/>
      <c r="D136" s="435"/>
      <c r="E136" s="435"/>
      <c r="F136" s="439"/>
      <c r="G136" s="439"/>
      <c r="H136" s="437"/>
      <c r="I136" s="437"/>
      <c r="J136" s="116"/>
      <c r="K136" s="435"/>
      <c r="L136" s="116"/>
      <c r="M136" s="116"/>
    </row>
    <row r="137" spans="1:26" ht="15.6" x14ac:dyDescent="0.3">
      <c r="B137" s="176" t="s">
        <v>604</v>
      </c>
      <c r="C137" s="177"/>
      <c r="D137" s="177"/>
      <c r="E137" s="177"/>
      <c r="F137" s="1067" t="s">
        <v>114</v>
      </c>
      <c r="G137" s="1067"/>
      <c r="H137" s="1067" t="s">
        <v>113</v>
      </c>
      <c r="I137" s="1067"/>
      <c r="J137" s="1067" t="s">
        <v>243</v>
      </c>
      <c r="K137" s="1067"/>
      <c r="L137" s="179"/>
      <c r="M137" s="179"/>
    </row>
    <row r="138" spans="1:26" ht="13.8" thickBot="1" x14ac:dyDescent="0.3">
      <c r="B138" s="177"/>
      <c r="C138" s="177"/>
      <c r="D138" s="177"/>
      <c r="E138" s="177"/>
      <c r="F138" s="177"/>
      <c r="G138" s="177"/>
      <c r="H138" s="178"/>
      <c r="I138" s="178"/>
      <c r="J138" s="179"/>
      <c r="K138" s="179"/>
      <c r="L138" s="179"/>
      <c r="M138" s="179"/>
    </row>
    <row r="139" spans="1:26" ht="13.8" thickBot="1" x14ac:dyDescent="0.3">
      <c r="B139" s="177"/>
      <c r="C139" s="177" t="s">
        <v>276</v>
      </c>
      <c r="D139" s="179"/>
      <c r="E139" s="177"/>
      <c r="F139" s="74"/>
      <c r="G139" s="177" t="s">
        <v>7</v>
      </c>
      <c r="H139" s="77"/>
      <c r="I139" s="178" t="s">
        <v>57</v>
      </c>
      <c r="J139" s="180">
        <f t="shared" ref="J139:J141" si="10">F139*H139</f>
        <v>0</v>
      </c>
      <c r="K139" s="177" t="s">
        <v>57</v>
      </c>
      <c r="L139" s="179"/>
      <c r="M139" s="179"/>
    </row>
    <row r="140" spans="1:26" ht="13.8" thickBot="1" x14ac:dyDescent="0.3">
      <c r="B140" s="177"/>
      <c r="C140" s="177" t="s">
        <v>276</v>
      </c>
      <c r="D140" s="177"/>
      <c r="E140" s="177"/>
      <c r="F140" s="74"/>
      <c r="G140" s="177" t="s">
        <v>7</v>
      </c>
      <c r="H140" s="77"/>
      <c r="I140" s="178" t="s">
        <v>57</v>
      </c>
      <c r="J140" s="180">
        <f t="shared" si="10"/>
        <v>0</v>
      </c>
      <c r="K140" s="177" t="s">
        <v>57</v>
      </c>
      <c r="L140" s="179"/>
      <c r="M140" s="179"/>
    </row>
    <row r="141" spans="1:26" ht="13.8" thickBot="1" x14ac:dyDescent="0.3">
      <c r="B141" s="177"/>
      <c r="C141" s="177" t="s">
        <v>276</v>
      </c>
      <c r="D141" s="177"/>
      <c r="E141" s="177"/>
      <c r="F141" s="74"/>
      <c r="G141" s="177" t="s">
        <v>7</v>
      </c>
      <c r="H141" s="77"/>
      <c r="I141" s="178" t="s">
        <v>57</v>
      </c>
      <c r="J141" s="180">
        <f t="shared" si="10"/>
        <v>0</v>
      </c>
      <c r="K141" s="177" t="s">
        <v>57</v>
      </c>
      <c r="L141" s="179"/>
      <c r="M141" s="179"/>
    </row>
    <row r="142" spans="1:26" x14ac:dyDescent="0.25">
      <c r="B142" s="204"/>
      <c r="C142" s="204" t="s">
        <v>54</v>
      </c>
      <c r="D142" s="204"/>
      <c r="E142" s="204"/>
      <c r="F142" s="204"/>
      <c r="G142" s="204"/>
      <c r="H142" s="205"/>
      <c r="I142" s="205"/>
      <c r="J142" s="206">
        <f>SUM(J139:J141)</f>
        <v>0</v>
      </c>
      <c r="K142" s="204" t="s">
        <v>57</v>
      </c>
      <c r="L142" s="204"/>
      <c r="M142" s="204"/>
    </row>
    <row r="143" spans="1:26" x14ac:dyDescent="0.25">
      <c r="B143" s="177"/>
      <c r="C143" s="177"/>
      <c r="D143" s="177"/>
      <c r="E143" s="177"/>
      <c r="F143" s="177"/>
      <c r="G143" s="177"/>
      <c r="H143" s="178"/>
      <c r="I143" s="178"/>
      <c r="J143" s="180"/>
      <c r="K143" s="177"/>
      <c r="L143" s="179"/>
      <c r="M143" s="179"/>
    </row>
    <row r="144" spans="1:26" x14ac:dyDescent="0.25">
      <c r="B144" s="116"/>
      <c r="C144" s="116"/>
      <c r="D144" s="116"/>
      <c r="E144" s="116"/>
      <c r="F144" s="116"/>
      <c r="G144" s="116"/>
      <c r="H144" s="116"/>
      <c r="I144" s="116"/>
      <c r="J144" s="116"/>
      <c r="K144" s="116"/>
      <c r="L144" s="116"/>
      <c r="M144" s="116"/>
    </row>
    <row r="145" spans="1:26" ht="15.6" x14ac:dyDescent="0.3">
      <c r="B145" s="181" t="s">
        <v>605</v>
      </c>
      <c r="C145" s="182"/>
      <c r="D145" s="182"/>
      <c r="E145" s="183"/>
      <c r="F145" s="182" t="s">
        <v>114</v>
      </c>
      <c r="G145" s="184"/>
      <c r="H145" s="184" t="s">
        <v>113</v>
      </c>
      <c r="I145" s="182"/>
      <c r="J145" s="182" t="s">
        <v>243</v>
      </c>
      <c r="K145" s="185"/>
      <c r="L145" s="185"/>
      <c r="M145" s="185"/>
    </row>
    <row r="146" spans="1:26" s="5" customFormat="1" ht="16.2" thickBot="1" x14ac:dyDescent="0.35">
      <c r="A146" s="314"/>
      <c r="B146" s="181"/>
      <c r="C146" s="182"/>
      <c r="D146" s="182"/>
      <c r="E146" s="183"/>
      <c r="F146" s="182"/>
      <c r="G146" s="184"/>
      <c r="H146" s="184"/>
      <c r="I146" s="182"/>
      <c r="J146" s="182"/>
      <c r="K146" s="185"/>
      <c r="L146" s="185"/>
      <c r="M146" s="185"/>
      <c r="N146"/>
      <c r="O146"/>
      <c r="P146"/>
      <c r="Q146"/>
      <c r="R146"/>
      <c r="S146"/>
      <c r="T146"/>
      <c r="U146"/>
      <c r="Y146"/>
      <c r="Z146"/>
    </row>
    <row r="147" spans="1:26" ht="13.2" customHeight="1" thickBot="1" x14ac:dyDescent="0.3">
      <c r="B147" s="182"/>
      <c r="C147" s="182" t="s">
        <v>278</v>
      </c>
      <c r="D147" s="185"/>
      <c r="E147" s="186"/>
      <c r="F147" s="74"/>
      <c r="G147" s="187" t="s">
        <v>279</v>
      </c>
      <c r="H147" s="74"/>
      <c r="I147" s="188" t="s">
        <v>280</v>
      </c>
      <c r="J147" s="185">
        <f>H147*F147</f>
        <v>0</v>
      </c>
      <c r="K147" s="188" t="s">
        <v>57</v>
      </c>
      <c r="L147" s="185"/>
      <c r="M147" s="185"/>
      <c r="N147" s="5"/>
      <c r="O147" s="5"/>
      <c r="P147" s="5"/>
      <c r="Q147" s="5"/>
      <c r="R147" s="5"/>
      <c r="S147" s="5"/>
      <c r="T147" s="5"/>
      <c r="U147" s="5"/>
    </row>
    <row r="148" spans="1:26" ht="13.95" customHeight="1" thickBot="1" x14ac:dyDescent="0.3">
      <c r="B148" s="182"/>
      <c r="C148" s="182" t="s">
        <v>281</v>
      </c>
      <c r="D148" s="188">
        <f>F178/2</f>
        <v>53.75</v>
      </c>
      <c r="E148" s="182" t="s">
        <v>282</v>
      </c>
      <c r="F148" s="74">
        <f>+D148*8</f>
        <v>430</v>
      </c>
      <c r="G148" s="184" t="s">
        <v>256</v>
      </c>
      <c r="H148" s="74">
        <v>0.83</v>
      </c>
      <c r="I148" s="188" t="s">
        <v>257</v>
      </c>
      <c r="J148" s="520">
        <f>H148*F148</f>
        <v>356.9</v>
      </c>
      <c r="K148" s="188" t="s">
        <v>57</v>
      </c>
      <c r="L148" s="185"/>
      <c r="M148" s="185"/>
      <c r="Y148" s="5"/>
      <c r="Z148" s="5"/>
    </row>
    <row r="149" spans="1:26" ht="13.8" thickBot="1" x14ac:dyDescent="0.3">
      <c r="B149" s="182"/>
      <c r="C149" s="182" t="s">
        <v>283</v>
      </c>
      <c r="D149" s="188">
        <f>D148</f>
        <v>53.75</v>
      </c>
      <c r="E149" s="182" t="s">
        <v>282</v>
      </c>
      <c r="F149" s="74">
        <v>11.88</v>
      </c>
      <c r="G149" s="184" t="s">
        <v>212</v>
      </c>
      <c r="H149" s="74">
        <v>4</v>
      </c>
      <c r="I149" s="188" t="s">
        <v>206</v>
      </c>
      <c r="J149" s="520">
        <f t="shared" ref="J149:J153" si="11">H149*F149</f>
        <v>47.52</v>
      </c>
      <c r="K149" s="188" t="s">
        <v>57</v>
      </c>
      <c r="L149" s="185"/>
      <c r="M149" s="185"/>
    </row>
    <row r="150" spans="1:26" ht="13.8" thickBot="1" x14ac:dyDescent="0.3">
      <c r="B150" s="182"/>
      <c r="C150" s="182" t="s">
        <v>284</v>
      </c>
      <c r="D150" s="185"/>
      <c r="E150" s="188"/>
      <c r="F150" s="74">
        <v>200</v>
      </c>
      <c r="G150" s="184" t="s">
        <v>256</v>
      </c>
      <c r="H150" s="74">
        <v>1.53</v>
      </c>
      <c r="I150" s="188" t="s">
        <v>257</v>
      </c>
      <c r="J150" s="520">
        <f t="shared" si="11"/>
        <v>306</v>
      </c>
      <c r="K150" s="188" t="s">
        <v>57</v>
      </c>
      <c r="L150" s="185"/>
      <c r="M150" s="185"/>
    </row>
    <row r="151" spans="1:26" ht="13.8" thickBot="1" x14ac:dyDescent="0.3">
      <c r="B151" s="182"/>
      <c r="C151" s="182" t="s">
        <v>285</v>
      </c>
      <c r="D151" s="185"/>
      <c r="E151" s="188"/>
      <c r="F151" s="74">
        <v>1.48</v>
      </c>
      <c r="G151" s="184" t="s">
        <v>256</v>
      </c>
      <c r="H151" s="74">
        <v>1.6</v>
      </c>
      <c r="I151" s="188" t="s">
        <v>257</v>
      </c>
      <c r="J151" s="520">
        <f t="shared" si="11"/>
        <v>2.3679999999999999</v>
      </c>
      <c r="K151" s="188" t="s">
        <v>57</v>
      </c>
      <c r="L151" s="185"/>
      <c r="M151" s="185"/>
    </row>
    <row r="152" spans="1:26" ht="13.8" thickBot="1" x14ac:dyDescent="0.3">
      <c r="B152" s="182"/>
      <c r="C152" s="182" t="s">
        <v>286</v>
      </c>
      <c r="D152" s="185"/>
      <c r="E152" s="188"/>
      <c r="F152" s="74"/>
      <c r="G152" s="184"/>
      <c r="H152" s="74"/>
      <c r="I152" s="188"/>
      <c r="J152" s="520">
        <f t="shared" si="11"/>
        <v>0</v>
      </c>
      <c r="K152" s="188" t="s">
        <v>57</v>
      </c>
      <c r="L152" s="185"/>
      <c r="M152" s="185"/>
    </row>
    <row r="153" spans="1:26" ht="13.8" thickBot="1" x14ac:dyDescent="0.3">
      <c r="B153" s="185"/>
      <c r="C153" s="207" t="s">
        <v>286</v>
      </c>
      <c r="D153" s="185"/>
      <c r="E153" s="185"/>
      <c r="F153" s="74"/>
      <c r="G153" s="185"/>
      <c r="H153" s="74"/>
      <c r="I153" s="185"/>
      <c r="J153" s="520">
        <f t="shared" si="11"/>
        <v>0</v>
      </c>
      <c r="K153" s="188" t="s">
        <v>57</v>
      </c>
      <c r="L153" s="185"/>
      <c r="M153" s="185"/>
    </row>
    <row r="154" spans="1:26" s="5" customFormat="1" x14ac:dyDescent="0.25">
      <c r="A154" s="314"/>
      <c r="B154" s="207"/>
      <c r="C154" s="207" t="s">
        <v>635</v>
      </c>
      <c r="D154" s="207"/>
      <c r="E154" s="207"/>
      <c r="F154" s="207"/>
      <c r="G154" s="207"/>
      <c r="H154" s="207"/>
      <c r="I154" s="207"/>
      <c r="J154" s="208">
        <f>SUM(J147:J153)</f>
        <v>712.78800000000001</v>
      </c>
      <c r="K154" s="208" t="s">
        <v>57</v>
      </c>
      <c r="L154" s="207"/>
      <c r="M154" s="207"/>
      <c r="N154"/>
      <c r="O154"/>
      <c r="P154"/>
      <c r="Q154"/>
      <c r="R154"/>
      <c r="S154"/>
      <c r="T154"/>
      <c r="U154"/>
      <c r="Y154"/>
      <c r="Z154"/>
    </row>
    <row r="155" spans="1:26" x14ac:dyDescent="0.25">
      <c r="B155" s="185"/>
      <c r="C155" s="185"/>
      <c r="D155" s="185"/>
      <c r="E155" s="185"/>
      <c r="F155" s="185"/>
      <c r="G155" s="185"/>
      <c r="H155" s="185"/>
      <c r="I155" s="185"/>
      <c r="J155" s="185"/>
      <c r="K155" s="185"/>
      <c r="L155" s="185"/>
      <c r="M155" s="185"/>
      <c r="N155" s="5"/>
      <c r="O155" s="5"/>
      <c r="P155" s="5"/>
      <c r="Q155" s="5"/>
      <c r="R155" s="5"/>
      <c r="S155" s="5"/>
      <c r="T155" s="5"/>
      <c r="U155" s="5"/>
    </row>
    <row r="156" spans="1:26" ht="33" customHeight="1" x14ac:dyDescent="0.25">
      <c r="B156" s="116"/>
      <c r="C156" s="116"/>
      <c r="D156" s="116"/>
      <c r="E156" s="116"/>
      <c r="F156" s="116"/>
      <c r="G156" s="116"/>
      <c r="H156" s="116"/>
      <c r="I156" s="116"/>
      <c r="J156" s="116"/>
      <c r="K156" s="116"/>
      <c r="L156" s="116"/>
      <c r="M156" s="116"/>
      <c r="Y156" s="5"/>
      <c r="Z156" s="5"/>
    </row>
    <row r="157" spans="1:26" ht="15.6" x14ac:dyDescent="0.3">
      <c r="B157" s="88" t="s">
        <v>677</v>
      </c>
      <c r="C157" s="79"/>
      <c r="D157" s="79"/>
      <c r="E157" s="79"/>
      <c r="F157" s="79"/>
      <c r="G157" s="79"/>
      <c r="H157" s="79"/>
      <c r="I157" s="79"/>
      <c r="J157" s="79"/>
      <c r="K157" s="79"/>
      <c r="L157" s="79"/>
      <c r="M157" s="79"/>
    </row>
    <row r="158" spans="1:26" ht="15.6" x14ac:dyDescent="0.3">
      <c r="B158" s="88"/>
      <c r="C158" s="79"/>
      <c r="D158" s="79"/>
      <c r="E158" s="79"/>
      <c r="F158" s="79"/>
      <c r="G158" s="79"/>
      <c r="H158" s="79"/>
      <c r="I158" s="79"/>
      <c r="J158" s="79"/>
      <c r="K158" s="79"/>
      <c r="L158" s="79"/>
      <c r="M158" s="79"/>
    </row>
    <row r="159" spans="1:26" ht="15" customHeight="1" x14ac:dyDescent="0.25">
      <c r="B159" s="1112" t="s">
        <v>499</v>
      </c>
      <c r="C159" s="1112"/>
      <c r="D159" s="1112"/>
      <c r="E159" s="1112"/>
      <c r="F159" s="1112"/>
      <c r="G159" s="1112"/>
      <c r="H159" s="1112"/>
      <c r="I159" s="1112"/>
      <c r="J159" s="1112"/>
      <c r="K159" s="1112"/>
      <c r="L159" s="1112"/>
      <c r="M159" s="1112"/>
    </row>
    <row r="160" spans="1:26" x14ac:dyDescent="0.25">
      <c r="B160" s="1112"/>
      <c r="C160" s="1112"/>
      <c r="D160" s="1112"/>
      <c r="E160" s="1112"/>
      <c r="F160" s="1112"/>
      <c r="G160" s="1112"/>
      <c r="H160" s="1112"/>
      <c r="I160" s="1112"/>
      <c r="J160" s="1112"/>
      <c r="K160" s="1112"/>
      <c r="L160" s="1112"/>
      <c r="M160" s="1112"/>
    </row>
    <row r="161" spans="1:26" ht="15.6" x14ac:dyDescent="0.3">
      <c r="B161" s="88"/>
      <c r="C161" s="79"/>
      <c r="D161" s="79"/>
      <c r="E161" s="1069" t="s">
        <v>290</v>
      </c>
      <c r="F161" s="1069"/>
      <c r="G161" s="1069"/>
      <c r="H161" s="1070" t="s">
        <v>113</v>
      </c>
      <c r="I161" s="1070"/>
      <c r="J161" s="1069" t="s">
        <v>291</v>
      </c>
      <c r="K161" s="1069"/>
      <c r="L161" s="1070" t="s">
        <v>113</v>
      </c>
      <c r="M161" s="1070"/>
    </row>
    <row r="162" spans="1:26" ht="15.6" thickBot="1" x14ac:dyDescent="0.3">
      <c r="B162" s="78"/>
      <c r="C162" s="79"/>
      <c r="D162" s="79"/>
      <c r="E162" s="79"/>
      <c r="F162" s="79"/>
      <c r="G162" s="79"/>
      <c r="H162" s="79"/>
      <c r="I162" s="79"/>
      <c r="J162" s="79"/>
      <c r="K162" s="79"/>
      <c r="L162" s="79"/>
      <c r="M162" s="79"/>
    </row>
    <row r="163" spans="1:26" ht="13.8" thickBot="1" x14ac:dyDescent="0.3">
      <c r="B163" s="79"/>
      <c r="C163" s="80" t="s">
        <v>292</v>
      </c>
      <c r="D163" s="79"/>
      <c r="E163" s="79"/>
      <c r="F163" s="91">
        <v>2.5</v>
      </c>
      <c r="G163" s="82" t="s">
        <v>293</v>
      </c>
      <c r="H163" s="93">
        <v>14.5</v>
      </c>
      <c r="I163" s="82" t="s">
        <v>294</v>
      </c>
      <c r="J163" s="92"/>
      <c r="K163" s="82" t="s">
        <v>293</v>
      </c>
      <c r="L163" s="93">
        <v>14.5</v>
      </c>
      <c r="M163" s="82" t="s">
        <v>294</v>
      </c>
    </row>
    <row r="164" spans="1:26" ht="13.8" thickBot="1" x14ac:dyDescent="0.3">
      <c r="B164" s="79"/>
      <c r="C164" s="80" t="s">
        <v>678</v>
      </c>
      <c r="D164" s="79"/>
      <c r="E164" s="79"/>
      <c r="F164" s="91">
        <v>2</v>
      </c>
      <c r="G164" s="82" t="s">
        <v>293</v>
      </c>
      <c r="H164" s="90">
        <f t="shared" ref="H164:H177" si="12">$H$163</f>
        <v>14.5</v>
      </c>
      <c r="I164" s="82" t="s">
        <v>294</v>
      </c>
      <c r="J164" s="92"/>
      <c r="K164" s="82" t="s">
        <v>293</v>
      </c>
      <c r="L164" s="90">
        <f t="shared" ref="L164:L177" si="13">$L$163</f>
        <v>14.5</v>
      </c>
      <c r="M164" s="82" t="s">
        <v>294</v>
      </c>
    </row>
    <row r="165" spans="1:26" ht="13.8" thickBot="1" x14ac:dyDescent="0.3">
      <c r="B165" s="79"/>
      <c r="C165" s="80" t="s">
        <v>297</v>
      </c>
      <c r="D165" s="79"/>
      <c r="E165" s="79"/>
      <c r="F165" s="91">
        <v>1</v>
      </c>
      <c r="G165" s="82" t="s">
        <v>293</v>
      </c>
      <c r="H165" s="90">
        <f t="shared" si="12"/>
        <v>14.5</v>
      </c>
      <c r="I165" s="82" t="s">
        <v>294</v>
      </c>
      <c r="J165" s="92"/>
      <c r="K165" s="82" t="s">
        <v>293</v>
      </c>
      <c r="L165" s="90">
        <f t="shared" si="13"/>
        <v>14.5</v>
      </c>
      <c r="M165" s="82" t="s">
        <v>294</v>
      </c>
    </row>
    <row r="166" spans="1:26" s="5" customFormat="1" ht="13.8" thickBot="1" x14ac:dyDescent="0.3">
      <c r="A166" s="314"/>
      <c r="B166" s="79"/>
      <c r="C166" s="80" t="s">
        <v>555</v>
      </c>
      <c r="D166" s="79"/>
      <c r="E166" s="79"/>
      <c r="F166" s="92">
        <v>2</v>
      </c>
      <c r="G166" s="82" t="s">
        <v>293</v>
      </c>
      <c r="H166" s="90">
        <f t="shared" si="12"/>
        <v>14.5</v>
      </c>
      <c r="I166" s="82" t="s">
        <v>294</v>
      </c>
      <c r="J166" s="92"/>
      <c r="K166" s="82" t="s">
        <v>293</v>
      </c>
      <c r="L166" s="90">
        <f t="shared" si="13"/>
        <v>14.5</v>
      </c>
      <c r="M166" s="82" t="s">
        <v>294</v>
      </c>
      <c r="N166"/>
      <c r="O166"/>
      <c r="P166"/>
      <c r="Q166"/>
      <c r="R166"/>
      <c r="S166"/>
      <c r="T166"/>
      <c r="U166"/>
      <c r="Y166"/>
      <c r="Z166"/>
    </row>
    <row r="167" spans="1:26" ht="13.8" thickBot="1" x14ac:dyDescent="0.3">
      <c r="B167" s="79"/>
      <c r="C167" s="80" t="s">
        <v>679</v>
      </c>
      <c r="D167" s="79"/>
      <c r="E167" s="79"/>
      <c r="F167" s="92"/>
      <c r="G167" s="82" t="s">
        <v>293</v>
      </c>
      <c r="H167" s="90">
        <f t="shared" si="12"/>
        <v>14.5</v>
      </c>
      <c r="I167" s="82" t="s">
        <v>294</v>
      </c>
      <c r="J167" s="92"/>
      <c r="K167" s="82" t="s">
        <v>293</v>
      </c>
      <c r="L167" s="90">
        <f t="shared" si="13"/>
        <v>14.5</v>
      </c>
      <c r="M167" s="82" t="s">
        <v>294</v>
      </c>
      <c r="N167" s="5"/>
      <c r="O167" s="5"/>
      <c r="P167" s="5"/>
      <c r="Q167" s="5"/>
      <c r="R167" s="5"/>
      <c r="S167" s="5"/>
      <c r="T167" s="5"/>
      <c r="U167" s="5"/>
    </row>
    <row r="168" spans="1:26" ht="13.8" thickBot="1" x14ac:dyDescent="0.3">
      <c r="B168" s="79"/>
      <c r="C168" s="80" t="s">
        <v>680</v>
      </c>
      <c r="D168" s="79"/>
      <c r="E168" s="79"/>
      <c r="F168" s="91">
        <v>15</v>
      </c>
      <c r="G168" s="82" t="s">
        <v>293</v>
      </c>
      <c r="H168" s="90">
        <f t="shared" si="12"/>
        <v>14.5</v>
      </c>
      <c r="I168" s="82" t="s">
        <v>294</v>
      </c>
      <c r="J168" s="92">
        <v>15</v>
      </c>
      <c r="K168" s="82" t="s">
        <v>293</v>
      </c>
      <c r="L168" s="90">
        <f t="shared" si="13"/>
        <v>14.5</v>
      </c>
      <c r="M168" s="82" t="s">
        <v>294</v>
      </c>
      <c r="Y168" s="5"/>
      <c r="Z168" s="5"/>
    </row>
    <row r="169" spans="1:26" ht="13.8" thickBot="1" x14ac:dyDescent="0.3">
      <c r="B169" s="79"/>
      <c r="C169" s="80" t="s">
        <v>298</v>
      </c>
      <c r="D169" s="79"/>
      <c r="E169" s="79"/>
      <c r="F169" s="91">
        <v>25</v>
      </c>
      <c r="G169" s="82" t="s">
        <v>293</v>
      </c>
      <c r="H169" s="90">
        <f t="shared" si="12"/>
        <v>14.5</v>
      </c>
      <c r="I169" s="82" t="s">
        <v>294</v>
      </c>
      <c r="J169" s="92">
        <v>25</v>
      </c>
      <c r="K169" s="82" t="s">
        <v>293</v>
      </c>
      <c r="L169" s="90">
        <f t="shared" si="13"/>
        <v>14.5</v>
      </c>
      <c r="M169" s="82" t="s">
        <v>294</v>
      </c>
    </row>
    <row r="170" spans="1:26" ht="13.8" thickBot="1" x14ac:dyDescent="0.3">
      <c r="B170" s="79"/>
      <c r="C170" s="80" t="s">
        <v>681</v>
      </c>
      <c r="D170" s="79"/>
      <c r="E170" s="79"/>
      <c r="F170" s="91">
        <v>6</v>
      </c>
      <c r="G170" s="82" t="s">
        <v>293</v>
      </c>
      <c r="H170" s="90">
        <f t="shared" si="12"/>
        <v>14.5</v>
      </c>
      <c r="I170" s="82" t="s">
        <v>294</v>
      </c>
      <c r="J170" s="92"/>
      <c r="K170" s="82" t="s">
        <v>293</v>
      </c>
      <c r="L170" s="90">
        <f t="shared" si="13"/>
        <v>14.5</v>
      </c>
      <c r="M170" s="82" t="s">
        <v>294</v>
      </c>
    </row>
    <row r="171" spans="1:26" ht="13.8" thickBot="1" x14ac:dyDescent="0.3">
      <c r="B171" s="79"/>
      <c r="C171" s="80" t="s">
        <v>569</v>
      </c>
      <c r="D171" s="79"/>
      <c r="E171" s="79"/>
      <c r="F171" s="91">
        <v>20</v>
      </c>
      <c r="G171" s="82" t="s">
        <v>293</v>
      </c>
      <c r="H171" s="90">
        <f t="shared" si="12"/>
        <v>14.5</v>
      </c>
      <c r="I171" s="82" t="s">
        <v>294</v>
      </c>
      <c r="J171" s="92">
        <v>40</v>
      </c>
      <c r="K171" s="82" t="s">
        <v>293</v>
      </c>
      <c r="L171" s="90">
        <f t="shared" si="13"/>
        <v>14.5</v>
      </c>
      <c r="M171" s="82" t="s">
        <v>294</v>
      </c>
    </row>
    <row r="172" spans="1:26" ht="13.8" thickBot="1" x14ac:dyDescent="0.3">
      <c r="B172" s="79"/>
      <c r="C172" s="80" t="s">
        <v>303</v>
      </c>
      <c r="D172" s="79"/>
      <c r="E172" s="79"/>
      <c r="F172" s="91">
        <v>2</v>
      </c>
      <c r="G172" s="82" t="s">
        <v>293</v>
      </c>
      <c r="H172" s="90">
        <f t="shared" si="12"/>
        <v>14.5</v>
      </c>
      <c r="I172" s="82" t="s">
        <v>294</v>
      </c>
      <c r="J172" s="92"/>
      <c r="K172" s="82" t="s">
        <v>293</v>
      </c>
      <c r="L172" s="90">
        <f t="shared" si="13"/>
        <v>14.5</v>
      </c>
      <c r="M172" s="82" t="s">
        <v>294</v>
      </c>
    </row>
    <row r="173" spans="1:26" ht="13.8" thickBot="1" x14ac:dyDescent="0.3">
      <c r="B173" s="79"/>
      <c r="C173" s="80" t="s">
        <v>662</v>
      </c>
      <c r="D173" s="79"/>
      <c r="E173" s="79"/>
      <c r="F173" s="91">
        <v>20</v>
      </c>
      <c r="G173" s="82" t="s">
        <v>293</v>
      </c>
      <c r="H173" s="90">
        <f t="shared" si="12"/>
        <v>14.5</v>
      </c>
      <c r="I173" s="82" t="s">
        <v>294</v>
      </c>
      <c r="J173" s="92"/>
      <c r="K173" s="82" t="s">
        <v>293</v>
      </c>
      <c r="L173" s="90">
        <f t="shared" si="13"/>
        <v>14.5</v>
      </c>
      <c r="M173" s="82" t="s">
        <v>294</v>
      </c>
    </row>
    <row r="174" spans="1:26" ht="13.8" thickBot="1" x14ac:dyDescent="0.3">
      <c r="B174" s="79"/>
      <c r="C174" s="80" t="s">
        <v>503</v>
      </c>
      <c r="D174" s="79"/>
      <c r="E174" s="79"/>
      <c r="F174" s="92">
        <v>12</v>
      </c>
      <c r="G174" s="82" t="s">
        <v>293</v>
      </c>
      <c r="H174" s="90">
        <f t="shared" si="12"/>
        <v>14.5</v>
      </c>
      <c r="I174" s="82" t="s">
        <v>294</v>
      </c>
      <c r="J174" s="92"/>
      <c r="K174" s="82" t="s">
        <v>293</v>
      </c>
      <c r="L174" s="90">
        <f t="shared" si="13"/>
        <v>14.5</v>
      </c>
      <c r="M174" s="82" t="s">
        <v>294</v>
      </c>
    </row>
    <row r="175" spans="1:26" ht="13.8" thickBot="1" x14ac:dyDescent="0.3">
      <c r="B175" s="79"/>
      <c r="C175" s="80" t="s">
        <v>431</v>
      </c>
      <c r="D175" s="79"/>
      <c r="E175" s="79"/>
      <c r="F175" s="92"/>
      <c r="G175" s="82" t="s">
        <v>293</v>
      </c>
      <c r="H175" s="90">
        <f t="shared" si="12"/>
        <v>14.5</v>
      </c>
      <c r="I175" s="82" t="s">
        <v>294</v>
      </c>
      <c r="J175" s="75"/>
      <c r="K175" s="82" t="s">
        <v>293</v>
      </c>
      <c r="L175" s="90">
        <f t="shared" si="13"/>
        <v>14.5</v>
      </c>
      <c r="M175" s="82" t="s">
        <v>294</v>
      </c>
    </row>
    <row r="176" spans="1:26" ht="13.8" thickBot="1" x14ac:dyDescent="0.3">
      <c r="B176" s="79"/>
      <c r="C176" s="80" t="s">
        <v>431</v>
      </c>
      <c r="D176" s="79"/>
      <c r="E176" s="79"/>
      <c r="F176" s="92"/>
      <c r="G176" s="82" t="s">
        <v>293</v>
      </c>
      <c r="H176" s="90">
        <f t="shared" si="12"/>
        <v>14.5</v>
      </c>
      <c r="I176" s="82" t="s">
        <v>294</v>
      </c>
      <c r="J176" s="75"/>
      <c r="K176" s="82" t="s">
        <v>293</v>
      </c>
      <c r="L176" s="90">
        <f t="shared" si="13"/>
        <v>14.5</v>
      </c>
      <c r="M176" s="82" t="s">
        <v>294</v>
      </c>
    </row>
    <row r="177" spans="1:26" ht="13.8" thickBot="1" x14ac:dyDescent="0.3">
      <c r="B177" s="79"/>
      <c r="C177" s="80" t="s">
        <v>431</v>
      </c>
      <c r="D177" s="81"/>
      <c r="E177" s="81"/>
      <c r="F177" s="75"/>
      <c r="G177" s="82" t="s">
        <v>293</v>
      </c>
      <c r="H177" s="90">
        <f t="shared" si="12"/>
        <v>14.5</v>
      </c>
      <c r="I177" s="82" t="s">
        <v>294</v>
      </c>
      <c r="J177" s="75"/>
      <c r="K177" s="82" t="s">
        <v>293</v>
      </c>
      <c r="L177" s="90">
        <f t="shared" si="13"/>
        <v>14.5</v>
      </c>
      <c r="M177" s="82" t="s">
        <v>294</v>
      </c>
    </row>
    <row r="178" spans="1:26" x14ac:dyDescent="0.25">
      <c r="B178" s="209"/>
      <c r="C178" s="210" t="s">
        <v>54</v>
      </c>
      <c r="D178" s="211"/>
      <c r="E178" s="211"/>
      <c r="F178" s="212">
        <f>SUM(F163:F177)</f>
        <v>107.5</v>
      </c>
      <c r="G178" s="209" t="s">
        <v>293</v>
      </c>
      <c r="H178" s="213">
        <f>F178*H163</f>
        <v>1558.75</v>
      </c>
      <c r="I178" s="209" t="s">
        <v>57</v>
      </c>
      <c r="J178" s="212">
        <f>SUM(J163:J177)</f>
        <v>80</v>
      </c>
      <c r="K178" s="209" t="s">
        <v>293</v>
      </c>
      <c r="L178" s="213">
        <f>J178*L163</f>
        <v>1160</v>
      </c>
      <c r="M178" s="209" t="s">
        <v>57</v>
      </c>
    </row>
    <row r="179" spans="1:26" ht="49.2" customHeight="1" thickBot="1" x14ac:dyDescent="0.3">
      <c r="B179" s="116"/>
      <c r="C179" s="116"/>
      <c r="D179" s="116"/>
      <c r="E179" s="116"/>
      <c r="F179" s="116"/>
      <c r="G179" s="116"/>
      <c r="H179" s="116"/>
      <c r="I179" s="116"/>
      <c r="J179" s="116"/>
      <c r="K179" s="116"/>
      <c r="L179" s="116"/>
      <c r="M179" s="116"/>
    </row>
    <row r="180" spans="1:26" ht="21.6" customHeight="1" thickBot="1" x14ac:dyDescent="0.45">
      <c r="B180" s="1078" t="s">
        <v>609</v>
      </c>
      <c r="C180" s="1079"/>
      <c r="D180" s="1079"/>
      <c r="E180" s="1080"/>
      <c r="F180" s="116"/>
      <c r="G180" s="116"/>
      <c r="H180" s="116"/>
      <c r="I180" s="116"/>
      <c r="J180" s="460" t="s">
        <v>241</v>
      </c>
      <c r="K180" s="460"/>
      <c r="L180" s="116"/>
      <c r="M180" s="116"/>
    </row>
    <row r="181" spans="1:26" x14ac:dyDescent="0.25">
      <c r="B181" s="116"/>
      <c r="C181" s="116"/>
      <c r="D181" s="116"/>
      <c r="E181" s="116"/>
      <c r="F181" s="116"/>
      <c r="G181" s="116"/>
      <c r="H181" s="116"/>
      <c r="I181" s="116"/>
      <c r="J181" s="116"/>
      <c r="K181" s="116"/>
      <c r="L181" s="116"/>
      <c r="M181" s="116"/>
    </row>
    <row r="182" spans="1:26" ht="15.6" x14ac:dyDescent="0.3">
      <c r="B182" s="96" t="s">
        <v>682</v>
      </c>
      <c r="C182" s="97"/>
      <c r="D182" s="97"/>
      <c r="E182" s="97"/>
      <c r="F182" s="1074" t="s">
        <v>114</v>
      </c>
      <c r="G182" s="1074"/>
      <c r="H182" s="1074" t="s">
        <v>113</v>
      </c>
      <c r="I182" s="1074"/>
      <c r="J182" s="1074" t="s">
        <v>243</v>
      </c>
      <c r="K182" s="1074"/>
      <c r="L182" s="99"/>
      <c r="M182" s="99"/>
    </row>
    <row r="183" spans="1:26" ht="13.8" thickBot="1" x14ac:dyDescent="0.3">
      <c r="B183" s="97"/>
      <c r="C183" s="97"/>
      <c r="D183" s="97"/>
      <c r="E183" s="97"/>
      <c r="F183" s="97"/>
      <c r="G183" s="97"/>
      <c r="H183" s="98"/>
      <c r="I183" s="98"/>
      <c r="J183" s="99"/>
      <c r="K183" s="99"/>
      <c r="L183" s="99"/>
      <c r="M183" s="99"/>
    </row>
    <row r="184" spans="1:26" ht="13.8" thickBot="1" x14ac:dyDescent="0.3">
      <c r="B184" s="97"/>
      <c r="C184" s="97" t="s">
        <v>683</v>
      </c>
      <c r="D184" s="99"/>
      <c r="E184" s="97"/>
      <c r="F184" s="94">
        <v>100</v>
      </c>
      <c r="G184" s="97" t="s">
        <v>212</v>
      </c>
      <c r="H184" s="77">
        <v>1.7</v>
      </c>
      <c r="I184" s="98" t="s">
        <v>206</v>
      </c>
      <c r="J184" s="100">
        <f>F184*H184</f>
        <v>170</v>
      </c>
      <c r="K184" s="97" t="s">
        <v>57</v>
      </c>
      <c r="L184" s="99"/>
      <c r="M184" s="99"/>
    </row>
    <row r="185" spans="1:26" ht="13.8" thickBot="1" x14ac:dyDescent="0.3">
      <c r="B185" s="97"/>
      <c r="C185" s="97" t="s">
        <v>683</v>
      </c>
      <c r="D185" s="99"/>
      <c r="E185" s="97"/>
      <c r="F185" s="94">
        <v>100</v>
      </c>
      <c r="G185" s="97" t="s">
        <v>212</v>
      </c>
      <c r="H185" s="77">
        <v>2.1</v>
      </c>
      <c r="I185" s="98" t="s">
        <v>206</v>
      </c>
      <c r="J185" s="100"/>
      <c r="K185" s="97"/>
      <c r="L185" s="99"/>
      <c r="M185" s="99"/>
    </row>
    <row r="186" spans="1:26" ht="13.8" thickBot="1" x14ac:dyDescent="0.3">
      <c r="B186" s="97"/>
      <c r="C186" s="97" t="s">
        <v>251</v>
      </c>
      <c r="D186" s="99"/>
      <c r="E186" s="97"/>
      <c r="F186" s="94"/>
      <c r="G186" s="97" t="s">
        <v>212</v>
      </c>
      <c r="H186" s="77"/>
      <c r="I186" s="98" t="s">
        <v>206</v>
      </c>
      <c r="J186" s="100">
        <f t="shared" ref="J186:J188" si="14">F186*H186</f>
        <v>0</v>
      </c>
      <c r="K186" s="97" t="s">
        <v>57</v>
      </c>
      <c r="L186" s="99"/>
      <c r="M186" s="99"/>
    </row>
    <row r="187" spans="1:26" ht="13.8" thickBot="1" x14ac:dyDescent="0.3">
      <c r="B187" s="97"/>
      <c r="C187" s="97" t="s">
        <v>251</v>
      </c>
      <c r="D187" s="99"/>
      <c r="E187" s="97"/>
      <c r="F187" s="74"/>
      <c r="G187" s="97" t="s">
        <v>212</v>
      </c>
      <c r="H187" s="77"/>
      <c r="I187" s="98" t="s">
        <v>206</v>
      </c>
      <c r="J187" s="100">
        <f t="shared" si="14"/>
        <v>0</v>
      </c>
      <c r="K187" s="97" t="s">
        <v>57</v>
      </c>
      <c r="L187" s="99"/>
      <c r="M187" s="99"/>
    </row>
    <row r="188" spans="1:26" ht="13.8" thickBot="1" x14ac:dyDescent="0.3">
      <c r="B188" s="97"/>
      <c r="C188" s="97" t="s">
        <v>251</v>
      </c>
      <c r="D188" s="99"/>
      <c r="E188" s="97"/>
      <c r="F188" s="74"/>
      <c r="G188" s="97" t="s">
        <v>212</v>
      </c>
      <c r="H188" s="77"/>
      <c r="I188" s="98" t="s">
        <v>206</v>
      </c>
      <c r="J188" s="100">
        <f t="shared" si="14"/>
        <v>0</v>
      </c>
      <c r="K188" s="97" t="s">
        <v>57</v>
      </c>
      <c r="L188" s="99"/>
      <c r="M188" s="99"/>
    </row>
    <row r="189" spans="1:26" x14ac:dyDescent="0.25">
      <c r="B189" s="214"/>
      <c r="C189" s="214" t="s">
        <v>54</v>
      </c>
      <c r="D189" s="214"/>
      <c r="E189" s="214"/>
      <c r="F189" s="214"/>
      <c r="G189" s="214"/>
      <c r="H189" s="214"/>
      <c r="I189" s="215"/>
      <c r="J189" s="216">
        <f>SUM(J184:J188)</f>
        <v>170</v>
      </c>
      <c r="K189" s="214" t="s">
        <v>57</v>
      </c>
      <c r="L189" s="214"/>
      <c r="M189" s="214"/>
    </row>
    <row r="190" spans="1:26" x14ac:dyDescent="0.25">
      <c r="B190" s="97"/>
      <c r="C190" s="97"/>
      <c r="D190" s="97"/>
      <c r="E190" s="97"/>
      <c r="F190" s="97"/>
      <c r="G190" s="97"/>
      <c r="H190" s="97"/>
      <c r="I190" s="98"/>
      <c r="J190" s="100"/>
      <c r="K190" s="97"/>
      <c r="L190" s="99"/>
      <c r="M190" s="99"/>
    </row>
    <row r="191" spans="1:26" s="5" customFormat="1" x14ac:dyDescent="0.25">
      <c r="A191" s="314"/>
      <c r="B191"/>
      <c r="C191"/>
      <c r="D191"/>
      <c r="E191"/>
      <c r="F191"/>
      <c r="G191"/>
      <c r="H191"/>
      <c r="I191"/>
      <c r="J191"/>
      <c r="K191"/>
      <c r="L191"/>
      <c r="M191"/>
      <c r="N191"/>
      <c r="O191"/>
      <c r="P191"/>
      <c r="Q191"/>
      <c r="R191"/>
      <c r="S191"/>
      <c r="T191"/>
      <c r="U191"/>
      <c r="Y191"/>
      <c r="Z191"/>
    </row>
    <row r="192" spans="1:26" ht="57" customHeight="1" x14ac:dyDescent="0.3">
      <c r="B192" s="85" t="s">
        <v>613</v>
      </c>
      <c r="C192" s="51"/>
      <c r="D192" s="51"/>
      <c r="E192" s="51"/>
      <c r="F192" s="1075" t="s">
        <v>114</v>
      </c>
      <c r="G192" s="1075"/>
      <c r="H192" s="1076" t="s">
        <v>113</v>
      </c>
      <c r="I192" s="1076"/>
      <c r="J192" s="1075" t="s">
        <v>243</v>
      </c>
      <c r="K192" s="1075"/>
      <c r="L192" s="58"/>
      <c r="M192" s="58"/>
      <c r="N192" s="5"/>
      <c r="O192" s="5"/>
      <c r="P192" s="5"/>
      <c r="Q192" s="5"/>
      <c r="R192" s="5"/>
      <c r="S192" s="5"/>
      <c r="T192" s="5"/>
      <c r="U192" s="5"/>
    </row>
    <row r="193" spans="1:26" ht="21" customHeight="1" x14ac:dyDescent="0.3">
      <c r="B193" s="85"/>
      <c r="C193" s="51"/>
      <c r="D193" s="387" t="s">
        <v>253</v>
      </c>
      <c r="E193" s="51"/>
      <c r="F193" s="59"/>
      <c r="G193" s="59"/>
      <c r="H193" s="60"/>
      <c r="I193" s="60"/>
      <c r="J193" s="59"/>
      <c r="K193" s="59"/>
      <c r="L193" s="58"/>
      <c r="M193" s="58"/>
      <c r="Y193" s="5"/>
      <c r="Z193" s="5"/>
    </row>
    <row r="194" spans="1:26" ht="13.8" thickBot="1" x14ac:dyDescent="0.3">
      <c r="B194" s="171" t="s">
        <v>254</v>
      </c>
      <c r="C194" s="51"/>
      <c r="D194" s="51"/>
      <c r="E194" s="51"/>
      <c r="F194" s="53"/>
      <c r="G194" s="53"/>
      <c r="H194" s="52"/>
      <c r="I194" s="52"/>
      <c r="J194" s="58"/>
      <c r="K194" s="58"/>
      <c r="L194" s="58"/>
      <c r="M194" s="58"/>
    </row>
    <row r="195" spans="1:26" ht="13.8" thickBot="1" x14ac:dyDescent="0.3">
      <c r="B195" s="51"/>
      <c r="C195" s="51" t="s">
        <v>614</v>
      </c>
      <c r="D195" s="58"/>
      <c r="E195" s="51"/>
      <c r="F195" s="95">
        <v>0.25</v>
      </c>
      <c r="G195" s="53" t="s">
        <v>256</v>
      </c>
      <c r="H195" s="77">
        <v>39.200000000000003</v>
      </c>
      <c r="I195" s="52" t="s">
        <v>257</v>
      </c>
      <c r="J195" s="58">
        <f t="shared" ref="J195:J197" si="15">F195*H195</f>
        <v>9.8000000000000007</v>
      </c>
      <c r="K195" s="51" t="s">
        <v>57</v>
      </c>
      <c r="L195" s="58"/>
      <c r="M195" s="58"/>
    </row>
    <row r="196" spans="1:26" ht="13.8" thickBot="1" x14ac:dyDescent="0.3">
      <c r="B196" s="51"/>
      <c r="C196" s="51" t="s">
        <v>684</v>
      </c>
      <c r="D196" s="58"/>
      <c r="E196" s="51"/>
      <c r="F196" s="95">
        <v>3</v>
      </c>
      <c r="G196" s="53" t="s">
        <v>212</v>
      </c>
      <c r="H196" s="77">
        <v>75</v>
      </c>
      <c r="I196" s="52" t="s">
        <v>206</v>
      </c>
      <c r="J196" s="58">
        <f t="shared" si="15"/>
        <v>225</v>
      </c>
      <c r="K196" s="51" t="s">
        <v>57</v>
      </c>
      <c r="L196" s="58"/>
      <c r="M196" s="58"/>
    </row>
    <row r="197" spans="1:26" ht="13.8" thickBot="1" x14ac:dyDescent="0.3">
      <c r="B197" s="51"/>
      <c r="C197" s="51" t="s">
        <v>616</v>
      </c>
      <c r="D197" s="58"/>
      <c r="E197" s="51"/>
      <c r="F197" s="95">
        <v>2</v>
      </c>
      <c r="G197" s="53" t="s">
        <v>212</v>
      </c>
      <c r="H197" s="77">
        <v>108</v>
      </c>
      <c r="I197" s="52" t="s">
        <v>206</v>
      </c>
      <c r="J197" s="58">
        <f t="shared" si="15"/>
        <v>216</v>
      </c>
      <c r="K197" s="51" t="s">
        <v>57</v>
      </c>
      <c r="L197" s="58"/>
      <c r="M197" s="58"/>
    </row>
    <row r="198" spans="1:26" ht="13.8" thickBot="1" x14ac:dyDescent="0.3">
      <c r="B198" s="51"/>
      <c r="C198" s="51" t="s">
        <v>265</v>
      </c>
      <c r="D198" s="51"/>
      <c r="E198" s="51"/>
      <c r="F198" s="95"/>
      <c r="G198" s="53" t="s">
        <v>256</v>
      </c>
      <c r="H198" s="77"/>
      <c r="I198" s="52" t="s">
        <v>257</v>
      </c>
      <c r="J198" s="58">
        <f t="shared" ref="J198:J204" si="16">F198*H198</f>
        <v>0</v>
      </c>
      <c r="K198" s="51" t="s">
        <v>57</v>
      </c>
      <c r="L198" s="58"/>
      <c r="M198" s="58"/>
    </row>
    <row r="199" spans="1:26" ht="13.8" thickBot="1" x14ac:dyDescent="0.3">
      <c r="B199" s="51"/>
      <c r="C199" s="51" t="s">
        <v>265</v>
      </c>
      <c r="D199" s="51"/>
      <c r="E199" s="51"/>
      <c r="F199" s="95"/>
      <c r="G199" s="53" t="s">
        <v>256</v>
      </c>
      <c r="H199" s="77"/>
      <c r="I199" s="52" t="s">
        <v>257</v>
      </c>
      <c r="J199" s="58">
        <f t="shared" si="16"/>
        <v>0</v>
      </c>
      <c r="K199" s="51" t="s">
        <v>57</v>
      </c>
      <c r="L199" s="58"/>
      <c r="M199" s="58"/>
    </row>
    <row r="200" spans="1:26" x14ac:dyDescent="0.25">
      <c r="B200" s="51"/>
      <c r="C200" s="51"/>
      <c r="D200" s="51"/>
      <c r="E200" s="51"/>
      <c r="F200" s="53"/>
      <c r="G200" s="53"/>
      <c r="H200" s="52"/>
      <c r="I200" s="52"/>
      <c r="J200" s="58"/>
      <c r="K200" s="51"/>
      <c r="L200" s="58"/>
      <c r="M200" s="58"/>
    </row>
    <row r="201" spans="1:26" ht="13.8" thickBot="1" x14ac:dyDescent="0.3">
      <c r="B201" s="171" t="s">
        <v>266</v>
      </c>
      <c r="C201" s="51"/>
      <c r="D201" s="51"/>
      <c r="E201" s="51"/>
      <c r="F201" s="53"/>
      <c r="G201" s="53"/>
      <c r="H201" s="52"/>
      <c r="I201" s="52"/>
      <c r="J201" s="58"/>
      <c r="K201" s="51"/>
      <c r="L201" s="58"/>
      <c r="M201" s="58"/>
    </row>
    <row r="202" spans="1:26" ht="13.8" thickBot="1" x14ac:dyDescent="0.3">
      <c r="B202" s="51"/>
      <c r="C202" s="51" t="s">
        <v>267</v>
      </c>
      <c r="D202" s="51"/>
      <c r="E202" s="51"/>
      <c r="F202" s="95"/>
      <c r="G202" s="53"/>
      <c r="H202" s="95"/>
      <c r="I202" s="52"/>
      <c r="J202" s="58">
        <f t="shared" si="16"/>
        <v>0</v>
      </c>
      <c r="K202" s="51" t="s">
        <v>57</v>
      </c>
      <c r="L202" s="58"/>
      <c r="M202" s="58"/>
    </row>
    <row r="203" spans="1:26" s="5" customFormat="1" ht="13.8" thickBot="1" x14ac:dyDescent="0.3">
      <c r="A203" s="314"/>
      <c r="B203" s="51"/>
      <c r="C203" s="51" t="s">
        <v>267</v>
      </c>
      <c r="D203" s="51"/>
      <c r="E203" s="51"/>
      <c r="F203" s="95"/>
      <c r="G203" s="53"/>
      <c r="H203" s="95"/>
      <c r="I203" s="52"/>
      <c r="J203" s="58">
        <f t="shared" si="16"/>
        <v>0</v>
      </c>
      <c r="K203" s="51" t="s">
        <v>57</v>
      </c>
      <c r="L203" s="58"/>
      <c r="M203" s="58"/>
      <c r="N203"/>
      <c r="O203"/>
      <c r="P203"/>
      <c r="Q203"/>
      <c r="R203"/>
      <c r="S203"/>
      <c r="T203"/>
      <c r="U203"/>
      <c r="Y203"/>
      <c r="Z203"/>
    </row>
    <row r="204" spans="1:26" ht="13.8" thickBot="1" x14ac:dyDescent="0.3">
      <c r="B204" s="51"/>
      <c r="C204" s="51" t="s">
        <v>267</v>
      </c>
      <c r="D204" s="51"/>
      <c r="E204" s="51"/>
      <c r="F204" s="95"/>
      <c r="G204" s="53"/>
      <c r="H204" s="95"/>
      <c r="I204" s="52"/>
      <c r="J204" s="58">
        <f t="shared" si="16"/>
        <v>0</v>
      </c>
      <c r="K204" s="51" t="s">
        <v>57</v>
      </c>
      <c r="L204" s="58"/>
      <c r="M204" s="58"/>
      <c r="N204" s="5"/>
      <c r="O204" s="5"/>
      <c r="P204" s="5"/>
      <c r="Q204" s="5"/>
      <c r="R204" s="5"/>
      <c r="S204" s="5"/>
      <c r="T204" s="5"/>
      <c r="U204" s="5"/>
    </row>
    <row r="205" spans="1:26" ht="39" customHeight="1" x14ac:dyDescent="0.25">
      <c r="B205" s="195"/>
      <c r="C205" s="195" t="s">
        <v>54</v>
      </c>
      <c r="D205" s="195"/>
      <c r="E205" s="195"/>
      <c r="F205" s="196"/>
      <c r="G205" s="196"/>
      <c r="H205" s="196"/>
      <c r="I205" s="197"/>
      <c r="J205" s="195">
        <f>SUM(J195:J204)</f>
        <v>450.8</v>
      </c>
      <c r="K205" s="195" t="s">
        <v>57</v>
      </c>
      <c r="L205" s="195"/>
      <c r="M205" s="195"/>
      <c r="Y205" s="5"/>
      <c r="Z205" s="5"/>
    </row>
    <row r="206" spans="1:26" x14ac:dyDescent="0.25">
      <c r="B206" s="51"/>
      <c r="C206" s="51"/>
      <c r="D206" s="51"/>
      <c r="E206" s="51"/>
      <c r="F206" s="53"/>
      <c r="G206" s="53"/>
      <c r="H206" s="52"/>
      <c r="I206" s="52"/>
      <c r="J206" s="58"/>
      <c r="K206" s="51"/>
      <c r="L206" s="58"/>
      <c r="M206" s="58"/>
    </row>
    <row r="207" spans="1:26" ht="19.95" customHeight="1" x14ac:dyDescent="0.25">
      <c r="B207" s="116"/>
      <c r="C207" s="116"/>
      <c r="D207" s="116"/>
      <c r="E207" s="116"/>
      <c r="F207" s="116"/>
      <c r="G207" s="116"/>
      <c r="H207" s="116"/>
      <c r="I207" s="116"/>
      <c r="J207" s="116"/>
      <c r="K207" s="116"/>
      <c r="L207" s="116"/>
      <c r="M207" s="116"/>
    </row>
    <row r="208" spans="1:26" ht="15.6" x14ac:dyDescent="0.3">
      <c r="B208" s="526" t="s">
        <v>620</v>
      </c>
      <c r="C208" s="527"/>
      <c r="D208" s="527"/>
      <c r="E208" s="527"/>
      <c r="F208" s="1125" t="s">
        <v>114</v>
      </c>
      <c r="G208" s="1125"/>
      <c r="H208" s="1125" t="s">
        <v>113</v>
      </c>
      <c r="I208" s="1125"/>
      <c r="J208" s="1125" t="s">
        <v>243</v>
      </c>
      <c r="K208" s="1125"/>
      <c r="L208" s="101"/>
      <c r="M208" s="101"/>
    </row>
    <row r="209" spans="2:13" ht="13.8" thickBot="1" x14ac:dyDescent="0.3">
      <c r="B209" s="527"/>
      <c r="C209" s="527"/>
      <c r="D209" s="527"/>
      <c r="E209" s="527"/>
      <c r="F209" s="527"/>
      <c r="G209" s="527"/>
      <c r="H209" s="528"/>
      <c r="I209" s="528"/>
      <c r="J209" s="101"/>
      <c r="K209" s="101"/>
      <c r="L209" s="101"/>
      <c r="M209" s="101"/>
    </row>
    <row r="210" spans="2:13" ht="13.8" thickBot="1" x14ac:dyDescent="0.3">
      <c r="B210" s="527"/>
      <c r="C210" s="527" t="s">
        <v>621</v>
      </c>
      <c r="D210" s="101"/>
      <c r="E210" s="527"/>
      <c r="F210" s="529">
        <v>4</v>
      </c>
      <c r="G210" s="527" t="s">
        <v>622</v>
      </c>
      <c r="H210" s="530">
        <v>160</v>
      </c>
      <c r="I210" s="528" t="s">
        <v>623</v>
      </c>
      <c r="J210" s="531">
        <f t="shared" ref="J210:J212" si="17">F210*H210</f>
        <v>640</v>
      </c>
      <c r="K210" s="527" t="s">
        <v>57</v>
      </c>
      <c r="L210" s="101"/>
      <c r="M210" s="101"/>
    </row>
    <row r="211" spans="2:13" ht="13.8" thickBot="1" x14ac:dyDescent="0.3">
      <c r="B211" s="527"/>
      <c r="C211" s="527" t="s">
        <v>372</v>
      </c>
      <c r="D211" s="527"/>
      <c r="E211" s="527"/>
      <c r="F211" s="529"/>
      <c r="G211" s="527" t="s">
        <v>7</v>
      </c>
      <c r="H211" s="530"/>
      <c r="I211" s="528" t="s">
        <v>57</v>
      </c>
      <c r="J211" s="531">
        <f t="shared" si="17"/>
        <v>0</v>
      </c>
      <c r="K211" s="527" t="s">
        <v>57</v>
      </c>
      <c r="L211" s="101"/>
      <c r="M211" s="101"/>
    </row>
    <row r="212" spans="2:13" ht="13.8" thickBot="1" x14ac:dyDescent="0.3">
      <c r="B212" s="527"/>
      <c r="C212" s="527" t="s">
        <v>372</v>
      </c>
      <c r="D212" s="527"/>
      <c r="E212" s="527"/>
      <c r="F212" s="529"/>
      <c r="G212" s="527" t="s">
        <v>7</v>
      </c>
      <c r="H212" s="530"/>
      <c r="I212" s="528" t="s">
        <v>57</v>
      </c>
      <c r="J212" s="531">
        <f t="shared" si="17"/>
        <v>0</v>
      </c>
      <c r="K212" s="527" t="s">
        <v>57</v>
      </c>
      <c r="L212" s="101"/>
      <c r="M212" s="101"/>
    </row>
    <row r="213" spans="2:13" x14ac:dyDescent="0.25">
      <c r="B213" s="305"/>
      <c r="C213" s="305" t="s">
        <v>54</v>
      </c>
      <c r="D213" s="305"/>
      <c r="E213" s="305"/>
      <c r="F213" s="305"/>
      <c r="G213" s="305"/>
      <c r="H213" s="532"/>
      <c r="I213" s="532"/>
      <c r="J213" s="533">
        <f>SUM(J210:J212)</f>
        <v>640</v>
      </c>
      <c r="K213" s="305" t="s">
        <v>57</v>
      </c>
      <c r="L213" s="305"/>
      <c r="M213" s="305"/>
    </row>
    <row r="214" spans="2:13" x14ac:dyDescent="0.25">
      <c r="B214" s="527"/>
      <c r="C214" s="527"/>
      <c r="D214" s="527"/>
      <c r="E214" s="527"/>
      <c r="F214" s="527"/>
      <c r="G214" s="527"/>
      <c r="H214" s="528"/>
      <c r="I214" s="528"/>
      <c r="J214" s="531"/>
      <c r="K214" s="527"/>
      <c r="L214" s="101"/>
      <c r="M214" s="101"/>
    </row>
    <row r="215" spans="2:13" ht="22.2" customHeight="1" x14ac:dyDescent="0.25">
      <c r="B215" s="116"/>
      <c r="C215" s="116"/>
      <c r="D215" s="116"/>
      <c r="E215" s="116"/>
      <c r="F215" s="116"/>
      <c r="G215" s="116"/>
      <c r="H215" s="116"/>
      <c r="I215" s="116"/>
      <c r="J215" s="116"/>
      <c r="K215" s="116"/>
      <c r="L215" s="116"/>
      <c r="M215" s="116"/>
    </row>
    <row r="216" spans="2:13" ht="15.6" x14ac:dyDescent="0.3">
      <c r="B216" s="86" t="s">
        <v>624</v>
      </c>
      <c r="C216" s="61"/>
      <c r="D216" s="61"/>
      <c r="E216" s="61"/>
      <c r="F216" s="1071" t="s">
        <v>114</v>
      </c>
      <c r="G216" s="1071"/>
      <c r="H216" s="1071" t="s">
        <v>113</v>
      </c>
      <c r="I216" s="1071"/>
      <c r="J216" s="1071" t="s">
        <v>243</v>
      </c>
      <c r="K216" s="1071"/>
      <c r="L216" s="63"/>
      <c r="M216" s="63"/>
    </row>
    <row r="217" spans="2:13" ht="13.8" thickBot="1" x14ac:dyDescent="0.3">
      <c r="B217" s="61"/>
      <c r="C217" s="61"/>
      <c r="D217" s="61"/>
      <c r="E217" s="61"/>
      <c r="F217" s="61"/>
      <c r="G217" s="61"/>
      <c r="H217" s="62"/>
      <c r="I217" s="62"/>
      <c r="J217" s="63"/>
      <c r="K217" s="63"/>
      <c r="L217" s="63"/>
      <c r="M217" s="63"/>
    </row>
    <row r="218" spans="2:13" ht="13.8" thickBot="1" x14ac:dyDescent="0.3">
      <c r="B218" s="61"/>
      <c r="C218" s="61" t="s">
        <v>625</v>
      </c>
      <c r="D218" s="63"/>
      <c r="E218" s="61"/>
      <c r="F218" s="388">
        <f>IF(S10&gt;0,S10*'Gårdens info'!G30/1,0)</f>
        <v>475</v>
      </c>
      <c r="G218" s="61" t="s">
        <v>116</v>
      </c>
      <c r="H218" s="77">
        <v>0.1</v>
      </c>
      <c r="I218" s="62" t="s">
        <v>74</v>
      </c>
      <c r="J218" s="64">
        <f>F218*H218</f>
        <v>47.5</v>
      </c>
      <c r="K218" s="61" t="s">
        <v>57</v>
      </c>
      <c r="L218" s="63"/>
      <c r="M218" s="63"/>
    </row>
    <row r="219" spans="2:13" ht="13.8" thickBot="1" x14ac:dyDescent="0.3">
      <c r="B219" s="61"/>
      <c r="C219" s="61" t="s">
        <v>626</v>
      </c>
      <c r="D219" s="63"/>
      <c r="E219" s="61"/>
      <c r="F219" s="388">
        <f>IF(S11&gt;0,S11*'Gårdens info'!G30/5,0)</f>
        <v>0</v>
      </c>
      <c r="G219" s="61" t="s">
        <v>116</v>
      </c>
      <c r="H219" s="77">
        <v>0.1</v>
      </c>
      <c r="I219" s="62" t="s">
        <v>74</v>
      </c>
      <c r="J219" s="64">
        <f>F219*H219</f>
        <v>0</v>
      </c>
      <c r="K219" s="61" t="s">
        <v>57</v>
      </c>
      <c r="L219" s="63"/>
      <c r="M219" s="63"/>
    </row>
    <row r="220" spans="2:13" ht="13.8" thickBot="1" x14ac:dyDescent="0.3">
      <c r="B220" s="61"/>
      <c r="C220" s="61" t="s">
        <v>627</v>
      </c>
      <c r="D220" s="63"/>
      <c r="E220" s="61"/>
      <c r="F220" s="388">
        <f>IF(S12&gt;0,S12*'Gårdens info'!G30/3,0)</f>
        <v>554.16666666666663</v>
      </c>
      <c r="G220" s="61" t="s">
        <v>116</v>
      </c>
      <c r="H220" s="77">
        <v>0.1</v>
      </c>
      <c r="I220" s="62" t="s">
        <v>74</v>
      </c>
      <c r="J220" s="64">
        <f t="shared" ref="J220:J225" si="18">F220*H220</f>
        <v>55.416666666666664</v>
      </c>
      <c r="K220" s="61" t="s">
        <v>57</v>
      </c>
      <c r="L220" s="63"/>
      <c r="M220" s="63"/>
    </row>
    <row r="221" spans="2:13" ht="13.8" thickBot="1" x14ac:dyDescent="0.3">
      <c r="B221" s="61"/>
      <c r="C221" s="61" t="s">
        <v>628</v>
      </c>
      <c r="D221" s="63"/>
      <c r="E221" s="61"/>
      <c r="F221" s="388">
        <f>IF(S13&gt;0,S13*'Gårdens info'!G30/0.5,0)</f>
        <v>475</v>
      </c>
      <c r="G221" s="61" t="s">
        <v>116</v>
      </c>
      <c r="H221" s="77">
        <v>4.9000000000000002E-2</v>
      </c>
      <c r="I221" s="62" t="s">
        <v>74</v>
      </c>
      <c r="J221" s="64">
        <f t="shared" si="18"/>
        <v>23.275000000000002</v>
      </c>
      <c r="K221" s="61" t="s">
        <v>57</v>
      </c>
      <c r="L221" s="63"/>
      <c r="M221" s="63"/>
    </row>
    <row r="222" spans="2:13" ht="13.8" thickBot="1" x14ac:dyDescent="0.3">
      <c r="B222" s="61"/>
      <c r="C222" s="61" t="s">
        <v>629</v>
      </c>
      <c r="D222" s="63"/>
      <c r="E222" s="61"/>
      <c r="F222" s="388">
        <f>IF(S14&gt;0,S14*'Gårdens info'!G30/0.25,0)</f>
        <v>0</v>
      </c>
      <c r="G222" s="61" t="s">
        <v>116</v>
      </c>
      <c r="H222" s="77">
        <v>0.04</v>
      </c>
      <c r="I222" s="62" t="s">
        <v>74</v>
      </c>
      <c r="J222" s="64">
        <f t="shared" si="18"/>
        <v>0</v>
      </c>
      <c r="K222" s="61" t="s">
        <v>57</v>
      </c>
      <c r="L222" s="63"/>
      <c r="M222" s="63"/>
    </row>
    <row r="223" spans="2:13" ht="13.8" thickBot="1" x14ac:dyDescent="0.3">
      <c r="B223" s="61"/>
      <c r="C223" s="77" t="s">
        <v>272</v>
      </c>
      <c r="D223" s="77"/>
      <c r="E223" s="61" t="s">
        <v>212</v>
      </c>
      <c r="F223" s="388">
        <f>IF(S15&gt;0,S15*'Gårdens info'!G30/D223,0)</f>
        <v>0</v>
      </c>
      <c r="G223" s="61" t="s">
        <v>116</v>
      </c>
      <c r="H223" s="77"/>
      <c r="I223" s="62" t="s">
        <v>74</v>
      </c>
      <c r="J223" s="64">
        <f t="shared" si="18"/>
        <v>0</v>
      </c>
      <c r="K223" s="61" t="s">
        <v>57</v>
      </c>
      <c r="L223" s="63"/>
      <c r="M223" s="63"/>
    </row>
    <row r="224" spans="2:13" ht="13.8" thickBot="1" x14ac:dyDescent="0.3">
      <c r="B224" s="61"/>
      <c r="C224" s="77" t="s">
        <v>272</v>
      </c>
      <c r="D224" s="77"/>
      <c r="E224" s="61" t="s">
        <v>212</v>
      </c>
      <c r="F224" s="388">
        <f>IF(S16&gt;0,S16*'Gårdens info'!G30/D224,0)</f>
        <v>0</v>
      </c>
      <c r="G224" s="61" t="s">
        <v>116</v>
      </c>
      <c r="H224" s="77"/>
      <c r="I224" s="62" t="s">
        <v>74</v>
      </c>
      <c r="J224" s="64">
        <f t="shared" ref="J224" si="19">F224*H224</f>
        <v>0</v>
      </c>
      <c r="K224" s="61" t="s">
        <v>57</v>
      </c>
      <c r="L224" s="63"/>
      <c r="M224" s="63"/>
    </row>
    <row r="225" spans="1:26" ht="13.8" thickBot="1" x14ac:dyDescent="0.3">
      <c r="B225" s="61"/>
      <c r="C225" s="77" t="s">
        <v>272</v>
      </c>
      <c r="D225" s="77"/>
      <c r="E225" s="61" t="s">
        <v>212</v>
      </c>
      <c r="F225" s="388">
        <f>IF(S17&gt;0,S17*'Gårdens info'!G30/D225,0)</f>
        <v>0</v>
      </c>
      <c r="G225" s="61" t="s">
        <v>116</v>
      </c>
      <c r="H225" s="77"/>
      <c r="I225" s="62" t="s">
        <v>74</v>
      </c>
      <c r="J225" s="64">
        <f t="shared" si="18"/>
        <v>0</v>
      </c>
      <c r="K225" s="61" t="s">
        <v>57</v>
      </c>
      <c r="L225" s="63"/>
      <c r="M225" s="63"/>
    </row>
    <row r="226" spans="1:26" s="5" customFormat="1" x14ac:dyDescent="0.25">
      <c r="A226" s="314"/>
      <c r="B226" s="198"/>
      <c r="C226" s="198" t="s">
        <v>54</v>
      </c>
      <c r="D226" s="198"/>
      <c r="E226" s="198"/>
      <c r="F226" s="198"/>
      <c r="G226" s="198"/>
      <c r="H226" s="199"/>
      <c r="I226" s="199"/>
      <c r="J226" s="200">
        <f>SUM(J219:J225)</f>
        <v>78.691666666666663</v>
      </c>
      <c r="K226" s="198" t="s">
        <v>57</v>
      </c>
      <c r="L226" s="198"/>
      <c r="M226" s="198"/>
      <c r="N226"/>
      <c r="O226"/>
      <c r="P226"/>
      <c r="Q226"/>
      <c r="R226"/>
      <c r="S226"/>
      <c r="T226"/>
      <c r="U226"/>
      <c r="Y226"/>
      <c r="Z226"/>
    </row>
    <row r="227" spans="1:26" x14ac:dyDescent="0.25">
      <c r="B227" s="61"/>
      <c r="C227" s="61"/>
      <c r="D227" s="61"/>
      <c r="E227" s="61"/>
      <c r="F227" s="61"/>
      <c r="G227" s="61"/>
      <c r="H227" s="62"/>
      <c r="I227" s="62"/>
      <c r="J227" s="64"/>
      <c r="K227" s="61"/>
      <c r="L227" s="63"/>
      <c r="M227" s="63"/>
      <c r="N227" s="5"/>
      <c r="O227" s="5"/>
      <c r="P227" s="5"/>
      <c r="Q227" s="5"/>
      <c r="R227" s="5"/>
      <c r="S227" s="5"/>
      <c r="T227" s="5"/>
      <c r="U227" s="5"/>
    </row>
    <row r="228" spans="1:26" ht="40.950000000000003" customHeight="1" x14ac:dyDescent="0.25">
      <c r="A228" s="319"/>
      <c r="B228" s="116"/>
      <c r="C228" s="116"/>
      <c r="D228" s="116"/>
      <c r="E228" s="116"/>
      <c r="F228" s="116"/>
      <c r="G228" s="116"/>
      <c r="H228" s="116"/>
      <c r="I228" s="116"/>
      <c r="J228" s="116"/>
      <c r="K228" s="116"/>
      <c r="L228" s="116"/>
      <c r="M228" s="116"/>
      <c r="Y228" s="5"/>
      <c r="Z228" s="5"/>
    </row>
    <row r="229" spans="1:26" ht="15.6" x14ac:dyDescent="0.3">
      <c r="A229" s="319"/>
      <c r="B229" s="87" t="s">
        <v>630</v>
      </c>
      <c r="C229" s="65"/>
      <c r="D229" s="65"/>
      <c r="E229" s="65"/>
      <c r="F229" s="1072" t="s">
        <v>114</v>
      </c>
      <c r="G229" s="1072"/>
      <c r="H229" s="1072" t="s">
        <v>113</v>
      </c>
      <c r="I229" s="1072"/>
      <c r="J229" s="1072" t="s">
        <v>243</v>
      </c>
      <c r="K229" s="1072"/>
      <c r="L229" s="67"/>
      <c r="M229" s="67"/>
    </row>
    <row r="230" spans="1:26" ht="13.8" thickBot="1" x14ac:dyDescent="0.3">
      <c r="A230" s="319"/>
      <c r="B230" s="65"/>
      <c r="C230" s="65"/>
      <c r="D230" s="65"/>
      <c r="E230" s="65"/>
      <c r="F230" s="65"/>
      <c r="G230" s="65"/>
      <c r="H230" s="66"/>
      <c r="I230" s="66"/>
      <c r="J230" s="67"/>
      <c r="K230" s="67"/>
      <c r="L230" s="67"/>
      <c r="M230" s="67"/>
    </row>
    <row r="231" spans="1:26" ht="13.8" thickBot="1" x14ac:dyDescent="0.3">
      <c r="A231" s="319"/>
      <c r="B231" s="65"/>
      <c r="C231" s="65" t="s">
        <v>222</v>
      </c>
      <c r="D231" s="67"/>
      <c r="E231" s="65"/>
      <c r="F231" s="74">
        <f>'Gårdens info'!G30*'Gårdens info'!D30</f>
        <v>0</v>
      </c>
      <c r="G231" s="65" t="s">
        <v>212</v>
      </c>
      <c r="H231" s="77">
        <v>0.3</v>
      </c>
      <c r="I231" s="66" t="s">
        <v>206</v>
      </c>
      <c r="J231" s="68">
        <f t="shared" ref="J231:J233" si="20">F231*H231</f>
        <v>0</v>
      </c>
      <c r="K231" s="65" t="s">
        <v>57</v>
      </c>
      <c r="L231" s="67"/>
      <c r="M231" s="67"/>
    </row>
    <row r="232" spans="1:26" ht="13.8" thickBot="1" x14ac:dyDescent="0.3">
      <c r="A232" s="319"/>
      <c r="B232" s="65"/>
      <c r="C232" s="65" t="s">
        <v>372</v>
      </c>
      <c r="D232" s="65"/>
      <c r="E232" s="65"/>
      <c r="F232" s="74"/>
      <c r="G232" s="65" t="s">
        <v>212</v>
      </c>
      <c r="H232" s="77"/>
      <c r="I232" s="66" t="s">
        <v>206</v>
      </c>
      <c r="J232" s="68">
        <f t="shared" si="20"/>
        <v>0</v>
      </c>
      <c r="K232" s="65" t="s">
        <v>57</v>
      </c>
      <c r="L232" s="67"/>
      <c r="M232" s="67"/>
    </row>
    <row r="233" spans="1:26" ht="13.8" thickBot="1" x14ac:dyDescent="0.3">
      <c r="A233" s="319"/>
      <c r="B233" s="65"/>
      <c r="C233" s="65" t="s">
        <v>372</v>
      </c>
      <c r="D233" s="65"/>
      <c r="E233" s="65"/>
      <c r="F233" s="74"/>
      <c r="G233" s="65" t="s">
        <v>212</v>
      </c>
      <c r="H233" s="77"/>
      <c r="I233" s="66" t="s">
        <v>206</v>
      </c>
      <c r="J233" s="68">
        <f t="shared" si="20"/>
        <v>0</v>
      </c>
      <c r="K233" s="65" t="s">
        <v>57</v>
      </c>
      <c r="L233" s="67"/>
      <c r="M233" s="67"/>
    </row>
    <row r="234" spans="1:26" x14ac:dyDescent="0.25">
      <c r="A234" s="319"/>
      <c r="B234" s="201"/>
      <c r="C234" s="201" t="s">
        <v>54</v>
      </c>
      <c r="D234" s="201"/>
      <c r="E234" s="201"/>
      <c r="F234" s="201"/>
      <c r="G234" s="201"/>
      <c r="H234" s="202"/>
      <c r="I234" s="202"/>
      <c r="J234" s="203">
        <f>SUM(J231:J233)</f>
        <v>0</v>
      </c>
      <c r="K234" s="201" t="s">
        <v>57</v>
      </c>
      <c r="L234" s="201"/>
      <c r="M234" s="201"/>
    </row>
    <row r="235" spans="1:26" x14ac:dyDescent="0.25">
      <c r="A235" s="319"/>
      <c r="B235" s="65"/>
      <c r="C235" s="65"/>
      <c r="D235" s="65"/>
      <c r="E235" s="65"/>
      <c r="F235" s="65"/>
      <c r="G235" s="65"/>
      <c r="H235" s="66"/>
      <c r="I235" s="66"/>
      <c r="J235" s="68"/>
      <c r="K235" s="65"/>
      <c r="L235" s="67"/>
      <c r="M235" s="67"/>
    </row>
    <row r="236" spans="1:26" x14ac:dyDescent="0.25">
      <c r="B236" s="116"/>
      <c r="C236" s="116"/>
      <c r="D236" s="116"/>
      <c r="E236" s="116"/>
      <c r="F236" s="116"/>
      <c r="G236" s="116"/>
      <c r="H236" s="116"/>
      <c r="I236" s="116"/>
      <c r="J236" s="116"/>
      <c r="K236" s="116"/>
      <c r="L236" s="116"/>
      <c r="M236" s="116"/>
    </row>
    <row r="237" spans="1:26" ht="15.6" x14ac:dyDescent="0.3">
      <c r="B237" s="176" t="s">
        <v>651</v>
      </c>
      <c r="C237" s="177"/>
      <c r="D237" s="177"/>
      <c r="E237" s="177"/>
      <c r="F237" s="1067" t="s">
        <v>114</v>
      </c>
      <c r="G237" s="1067"/>
      <c r="H237" s="1067" t="s">
        <v>113</v>
      </c>
      <c r="I237" s="1067"/>
      <c r="J237" s="1067" t="s">
        <v>243</v>
      </c>
      <c r="K237" s="1067"/>
      <c r="L237" s="179"/>
      <c r="M237" s="179"/>
    </row>
    <row r="238" spans="1:26" s="5" customFormat="1" ht="13.8" thickBot="1" x14ac:dyDescent="0.3">
      <c r="A238" s="314"/>
      <c r="B238" s="177"/>
      <c r="C238" s="177"/>
      <c r="D238" s="177"/>
      <c r="E238" s="177"/>
      <c r="F238" s="177"/>
      <c r="G238" s="177"/>
      <c r="H238" s="178"/>
      <c r="I238" s="178"/>
      <c r="J238" s="179"/>
      <c r="K238" s="179"/>
      <c r="L238" s="179"/>
      <c r="M238" s="179"/>
      <c r="N238"/>
      <c r="O238"/>
      <c r="P238"/>
      <c r="Q238"/>
      <c r="R238"/>
      <c r="S238"/>
      <c r="T238"/>
      <c r="U238"/>
      <c r="Y238"/>
      <c r="Z238"/>
    </row>
    <row r="239" spans="1:26" ht="13.8" thickBot="1" x14ac:dyDescent="0.3">
      <c r="B239" s="177"/>
      <c r="C239" s="177" t="s">
        <v>276</v>
      </c>
      <c r="D239" s="179"/>
      <c r="E239" s="177"/>
      <c r="F239" s="74"/>
      <c r="G239" s="177" t="s">
        <v>7</v>
      </c>
      <c r="H239" s="77"/>
      <c r="I239" s="178" t="s">
        <v>57</v>
      </c>
      <c r="J239" s="180">
        <f t="shared" ref="J239:J241" si="21">F239*H239</f>
        <v>0</v>
      </c>
      <c r="K239" s="177" t="s">
        <v>57</v>
      </c>
      <c r="L239" s="179"/>
      <c r="M239" s="179"/>
      <c r="N239" s="5"/>
      <c r="O239" s="5"/>
      <c r="P239" s="5"/>
      <c r="Q239" s="5"/>
      <c r="R239" s="5"/>
      <c r="S239" s="5"/>
      <c r="T239" s="5"/>
      <c r="U239" s="5"/>
    </row>
    <row r="240" spans="1:26" ht="13.8" thickBot="1" x14ac:dyDescent="0.3">
      <c r="B240" s="177"/>
      <c r="C240" s="177" t="s">
        <v>276</v>
      </c>
      <c r="D240" s="177"/>
      <c r="E240" s="177"/>
      <c r="F240" s="74"/>
      <c r="G240" s="177" t="s">
        <v>7</v>
      </c>
      <c r="H240" s="77"/>
      <c r="I240" s="178" t="s">
        <v>57</v>
      </c>
      <c r="J240" s="180">
        <f t="shared" si="21"/>
        <v>0</v>
      </c>
      <c r="K240" s="177" t="s">
        <v>57</v>
      </c>
      <c r="L240" s="179"/>
      <c r="M240" s="179"/>
      <c r="Y240" s="5"/>
      <c r="Z240" s="5"/>
    </row>
    <row r="241" spans="1:26" ht="13.8" thickBot="1" x14ac:dyDescent="0.3">
      <c r="B241" s="177"/>
      <c r="C241" s="177" t="s">
        <v>276</v>
      </c>
      <c r="D241" s="177"/>
      <c r="E241" s="177"/>
      <c r="F241" s="74"/>
      <c r="G241" s="177" t="s">
        <v>7</v>
      </c>
      <c r="H241" s="77"/>
      <c r="I241" s="178" t="s">
        <v>57</v>
      </c>
      <c r="J241" s="180">
        <f t="shared" si="21"/>
        <v>0</v>
      </c>
      <c r="K241" s="177" t="s">
        <v>57</v>
      </c>
      <c r="L241" s="179"/>
      <c r="M241" s="179"/>
    </row>
    <row r="242" spans="1:26" x14ac:dyDescent="0.25">
      <c r="B242" s="204"/>
      <c r="C242" s="204" t="s">
        <v>54</v>
      </c>
      <c r="D242" s="204"/>
      <c r="E242" s="204"/>
      <c r="F242" s="204"/>
      <c r="G242" s="204"/>
      <c r="H242" s="205"/>
      <c r="I242" s="205"/>
      <c r="J242" s="206">
        <f>SUM(J239:J241)</f>
        <v>0</v>
      </c>
      <c r="K242" s="204" t="s">
        <v>57</v>
      </c>
      <c r="L242" s="204"/>
      <c r="M242" s="204"/>
    </row>
    <row r="243" spans="1:26" x14ac:dyDescent="0.25">
      <c r="B243" s="177"/>
      <c r="C243" s="177"/>
      <c r="D243" s="177"/>
      <c r="E243" s="177"/>
      <c r="F243" s="177"/>
      <c r="G243" s="177"/>
      <c r="H243" s="178"/>
      <c r="I243" s="178"/>
      <c r="J243" s="180"/>
      <c r="K243" s="177"/>
      <c r="L243" s="179"/>
      <c r="M243" s="179"/>
    </row>
    <row r="244" spans="1:26" x14ac:dyDescent="0.25">
      <c r="B244" s="116"/>
      <c r="C244" s="116"/>
      <c r="D244" s="116"/>
      <c r="E244" s="116"/>
      <c r="F244" s="116"/>
      <c r="G244" s="116"/>
      <c r="H244" s="116"/>
      <c r="I244" s="116"/>
      <c r="J244" s="116"/>
      <c r="K244" s="116"/>
      <c r="L244" s="116"/>
      <c r="M244" s="116"/>
    </row>
    <row r="245" spans="1:26" ht="15.6" x14ac:dyDescent="0.3">
      <c r="B245" s="181" t="s">
        <v>632</v>
      </c>
      <c r="C245" s="182"/>
      <c r="D245" s="182"/>
      <c r="E245" s="183"/>
      <c r="F245" s="182" t="s">
        <v>114</v>
      </c>
      <c r="G245" s="184"/>
      <c r="H245" s="184" t="s">
        <v>113</v>
      </c>
      <c r="I245" s="182"/>
      <c r="J245" s="182"/>
      <c r="K245" s="185"/>
      <c r="L245" s="185"/>
      <c r="M245" s="185"/>
    </row>
    <row r="246" spans="1:26" s="5" customFormat="1" ht="16.2" thickBot="1" x14ac:dyDescent="0.35">
      <c r="A246" s="314"/>
      <c r="B246" s="181"/>
      <c r="C246" s="182"/>
      <c r="D246" s="182"/>
      <c r="E246" s="183"/>
      <c r="F246" s="182"/>
      <c r="G246" s="184"/>
      <c r="H246" s="184"/>
      <c r="I246" s="182"/>
      <c r="J246" s="182"/>
      <c r="K246" s="185"/>
      <c r="L246" s="185"/>
      <c r="M246" s="185"/>
      <c r="N246"/>
      <c r="O246"/>
      <c r="P246"/>
      <c r="Q246"/>
      <c r="R246"/>
      <c r="S246"/>
      <c r="T246"/>
      <c r="U246"/>
      <c r="Y246"/>
      <c r="Z246"/>
    </row>
    <row r="247" spans="1:26" ht="13.8" thickBot="1" x14ac:dyDescent="0.3">
      <c r="B247" s="182"/>
      <c r="C247" s="182" t="s">
        <v>278</v>
      </c>
      <c r="D247" s="185"/>
      <c r="E247" s="186"/>
      <c r="F247" s="74">
        <v>1000</v>
      </c>
      <c r="G247" s="187" t="s">
        <v>279</v>
      </c>
      <c r="H247" s="74">
        <v>0.15</v>
      </c>
      <c r="I247" s="188" t="s">
        <v>280</v>
      </c>
      <c r="J247" s="521">
        <f>H247*F247</f>
        <v>150</v>
      </c>
      <c r="K247" s="188" t="s">
        <v>57</v>
      </c>
      <c r="L247" s="185"/>
      <c r="M247" s="185"/>
      <c r="N247" s="5"/>
      <c r="O247" s="5"/>
      <c r="P247" s="5"/>
      <c r="Q247" s="5"/>
      <c r="R247" s="5"/>
      <c r="S247" s="5"/>
      <c r="T247" s="5"/>
      <c r="U247" s="5"/>
    </row>
    <row r="248" spans="1:26" ht="13.8" thickBot="1" x14ac:dyDescent="0.3">
      <c r="B248" s="182"/>
      <c r="C248" s="182" t="s">
        <v>685</v>
      </c>
      <c r="D248" s="188">
        <f>F277/2</f>
        <v>67</v>
      </c>
      <c r="E248" s="182" t="s">
        <v>282</v>
      </c>
      <c r="F248" s="74">
        <f>+D248*8</f>
        <v>536</v>
      </c>
      <c r="G248" s="184" t="s">
        <v>256</v>
      </c>
      <c r="H248" s="74">
        <v>0.83</v>
      </c>
      <c r="I248" s="188" t="s">
        <v>257</v>
      </c>
      <c r="J248" s="521">
        <f>H248*F248</f>
        <v>444.88</v>
      </c>
      <c r="K248" s="188" t="s">
        <v>57</v>
      </c>
      <c r="L248" s="185"/>
      <c r="M248" s="185"/>
      <c r="Y248" s="5"/>
      <c r="Z248" s="5"/>
    </row>
    <row r="249" spans="1:26" ht="13.8" thickBot="1" x14ac:dyDescent="0.3">
      <c r="B249" s="182"/>
      <c r="C249" s="182" t="s">
        <v>686</v>
      </c>
      <c r="D249" s="188">
        <f>D248</f>
        <v>67</v>
      </c>
      <c r="E249" s="182" t="s">
        <v>282</v>
      </c>
      <c r="F249" s="74">
        <v>11.88</v>
      </c>
      <c r="G249" s="184" t="s">
        <v>212</v>
      </c>
      <c r="H249" s="74">
        <v>4</v>
      </c>
      <c r="I249" s="188" t="s">
        <v>206</v>
      </c>
      <c r="J249" s="521">
        <f t="shared" ref="J249:J253" si="22">H249*F249</f>
        <v>47.52</v>
      </c>
      <c r="K249" s="188" t="s">
        <v>57</v>
      </c>
      <c r="L249" s="185"/>
      <c r="M249" s="185"/>
    </row>
    <row r="250" spans="1:26" ht="13.8" thickBot="1" x14ac:dyDescent="0.3">
      <c r="B250" s="182"/>
      <c r="C250" s="182" t="s">
        <v>284</v>
      </c>
      <c r="D250" s="185"/>
      <c r="E250" s="188"/>
      <c r="F250" s="74">
        <v>200</v>
      </c>
      <c r="G250" s="184" t="s">
        <v>256</v>
      </c>
      <c r="H250" s="74">
        <v>1.53</v>
      </c>
      <c r="I250" s="188" t="s">
        <v>257</v>
      </c>
      <c r="J250" s="521">
        <f t="shared" si="22"/>
        <v>306</v>
      </c>
      <c r="K250" s="188" t="s">
        <v>57</v>
      </c>
      <c r="L250" s="185"/>
      <c r="M250" s="185"/>
    </row>
    <row r="251" spans="1:26" ht="13.8" thickBot="1" x14ac:dyDescent="0.3">
      <c r="B251" s="182"/>
      <c r="C251" s="182" t="s">
        <v>285</v>
      </c>
      <c r="D251" s="185"/>
      <c r="E251" s="188"/>
      <c r="F251" s="74">
        <v>1.48</v>
      </c>
      <c r="G251" s="184" t="s">
        <v>256</v>
      </c>
      <c r="H251" s="74">
        <v>1.6</v>
      </c>
      <c r="I251" s="188" t="s">
        <v>257</v>
      </c>
      <c r="J251" s="521">
        <f t="shared" si="22"/>
        <v>2.3679999999999999</v>
      </c>
      <c r="K251" s="188" t="s">
        <v>57</v>
      </c>
      <c r="L251" s="185"/>
      <c r="M251" s="185"/>
    </row>
    <row r="252" spans="1:26" ht="13.8" thickBot="1" x14ac:dyDescent="0.3">
      <c r="B252" s="182"/>
      <c r="C252" s="182" t="s">
        <v>286</v>
      </c>
      <c r="D252" s="185"/>
      <c r="E252" s="188"/>
      <c r="F252" s="74"/>
      <c r="G252" s="184"/>
      <c r="H252" s="74"/>
      <c r="I252" s="188"/>
      <c r="J252" s="521">
        <f t="shared" si="22"/>
        <v>0</v>
      </c>
      <c r="K252" s="188" t="s">
        <v>57</v>
      </c>
      <c r="L252" s="185"/>
      <c r="M252" s="185"/>
    </row>
    <row r="253" spans="1:26" ht="13.8" thickBot="1" x14ac:dyDescent="0.3">
      <c r="B253" s="185"/>
      <c r="C253" s="182" t="s">
        <v>286</v>
      </c>
      <c r="D253" s="185"/>
      <c r="E253" s="185"/>
      <c r="F253" s="74"/>
      <c r="G253" s="185"/>
      <c r="H253" s="74"/>
      <c r="I253" s="185"/>
      <c r="J253" s="521">
        <f t="shared" si="22"/>
        <v>0</v>
      </c>
      <c r="K253" s="188" t="s">
        <v>57</v>
      </c>
      <c r="L253" s="185"/>
      <c r="M253" s="185"/>
    </row>
    <row r="254" spans="1:26" s="5" customFormat="1" x14ac:dyDescent="0.25">
      <c r="A254" s="314"/>
      <c r="B254" s="207"/>
      <c r="C254" s="207" t="s">
        <v>54</v>
      </c>
      <c r="D254" s="207"/>
      <c r="E254" s="207"/>
      <c r="F254" s="207"/>
      <c r="G254" s="207"/>
      <c r="H254" s="207"/>
      <c r="I254" s="207"/>
      <c r="J254" s="522">
        <f>SUM(J247:J253)</f>
        <v>950.76800000000003</v>
      </c>
      <c r="K254" s="208" t="s">
        <v>57</v>
      </c>
      <c r="L254" s="207"/>
      <c r="M254" s="207"/>
      <c r="N254"/>
      <c r="O254"/>
      <c r="P254"/>
      <c r="Q254"/>
      <c r="R254"/>
      <c r="S254"/>
      <c r="T254"/>
      <c r="U254"/>
      <c r="Y254"/>
      <c r="Z254"/>
    </row>
    <row r="255" spans="1:26" x14ac:dyDescent="0.25">
      <c r="B255" s="185"/>
      <c r="C255" s="185"/>
      <c r="D255" s="185"/>
      <c r="E255" s="185"/>
      <c r="F255" s="185"/>
      <c r="G255" s="185"/>
      <c r="H255" s="185"/>
      <c r="I255" s="185"/>
      <c r="J255" s="185"/>
      <c r="K255" s="185"/>
      <c r="L255" s="185"/>
      <c r="M255" s="185"/>
      <c r="N255" s="5"/>
      <c r="O255" s="5"/>
      <c r="P255" s="5"/>
      <c r="Q255" s="5"/>
      <c r="R255" s="5"/>
      <c r="S255" s="5"/>
      <c r="T255" s="5"/>
      <c r="U255" s="5"/>
    </row>
    <row r="256" spans="1:26" ht="33" customHeight="1" x14ac:dyDescent="0.25">
      <c r="B256" s="116"/>
      <c r="C256" s="116"/>
      <c r="D256" s="116"/>
      <c r="E256" s="116"/>
      <c r="F256" s="116"/>
      <c r="G256" s="116"/>
      <c r="H256" s="116"/>
      <c r="I256" s="116"/>
      <c r="J256" s="116"/>
      <c r="K256" s="116"/>
      <c r="L256" s="116"/>
      <c r="M256" s="116"/>
      <c r="Y256" s="5"/>
      <c r="Z256" s="5"/>
    </row>
    <row r="257" spans="1:26" ht="15.6" x14ac:dyDescent="0.3">
      <c r="B257" s="88" t="s">
        <v>687</v>
      </c>
      <c r="C257" s="79"/>
      <c r="D257" s="79"/>
      <c r="E257" s="79"/>
      <c r="F257" s="79"/>
      <c r="G257" s="79"/>
      <c r="H257" s="79"/>
      <c r="I257" s="79"/>
      <c r="J257" s="79"/>
      <c r="K257" s="79"/>
      <c r="L257" s="79"/>
      <c r="M257" s="79"/>
    </row>
    <row r="258" spans="1:26" ht="15.6" x14ac:dyDescent="0.3">
      <c r="B258" s="88"/>
      <c r="C258" s="79"/>
      <c r="D258" s="79"/>
      <c r="E258" s="79"/>
      <c r="F258" s="79"/>
      <c r="G258" s="79"/>
      <c r="H258" s="79"/>
      <c r="I258" s="79"/>
      <c r="J258" s="79"/>
      <c r="K258" s="79"/>
      <c r="L258" s="79"/>
      <c r="M258" s="79"/>
    </row>
    <row r="259" spans="1:26" ht="15" customHeight="1" x14ac:dyDescent="0.25">
      <c r="B259" s="1112" t="s">
        <v>499</v>
      </c>
      <c r="C259" s="1112"/>
      <c r="D259" s="1112"/>
      <c r="E259" s="1112"/>
      <c r="F259" s="1112"/>
      <c r="G259" s="1112"/>
      <c r="H259" s="1112"/>
      <c r="I259" s="1112"/>
      <c r="J259" s="1112"/>
      <c r="K259" s="1112"/>
      <c r="L259" s="1112"/>
      <c r="M259" s="1112"/>
    </row>
    <row r="260" spans="1:26" x14ac:dyDescent="0.25">
      <c r="B260" s="1112"/>
      <c r="C260" s="1112"/>
      <c r="D260" s="1112"/>
      <c r="E260" s="1112"/>
      <c r="F260" s="1112"/>
      <c r="G260" s="1112"/>
      <c r="H260" s="1112"/>
      <c r="I260" s="1112"/>
      <c r="J260" s="1112"/>
      <c r="K260" s="1112"/>
      <c r="L260" s="1112"/>
      <c r="M260" s="1112"/>
    </row>
    <row r="261" spans="1:26" ht="15.6" x14ac:dyDescent="0.3">
      <c r="B261" s="88"/>
      <c r="C261" s="79"/>
      <c r="D261" s="79"/>
      <c r="E261" s="1069" t="s">
        <v>290</v>
      </c>
      <c r="F261" s="1069"/>
      <c r="G261" s="1069"/>
      <c r="H261" s="1070" t="s">
        <v>113</v>
      </c>
      <c r="I261" s="1070"/>
      <c r="J261" s="1069" t="s">
        <v>291</v>
      </c>
      <c r="K261" s="1069"/>
      <c r="L261" s="1070" t="s">
        <v>113</v>
      </c>
      <c r="M261" s="1070"/>
    </row>
    <row r="262" spans="1:26" ht="15.6" thickBot="1" x14ac:dyDescent="0.3">
      <c r="B262" s="78"/>
      <c r="C262" s="79"/>
      <c r="D262" s="79"/>
      <c r="E262" s="79"/>
      <c r="F262" s="79"/>
      <c r="G262" s="79"/>
      <c r="H262" s="79"/>
      <c r="I262" s="79"/>
      <c r="J262" s="79"/>
      <c r="K262" s="79"/>
      <c r="L262" s="79"/>
      <c r="M262" s="79"/>
    </row>
    <row r="263" spans="1:26" ht="13.8" thickBot="1" x14ac:dyDescent="0.3">
      <c r="B263" s="79"/>
      <c r="C263" s="80" t="s">
        <v>297</v>
      </c>
      <c r="D263" s="79"/>
      <c r="E263" s="79"/>
      <c r="F263" s="91">
        <v>1</v>
      </c>
      <c r="G263" s="82" t="s">
        <v>293</v>
      </c>
      <c r="H263" s="90">
        <f t="shared" ref="H263:H276" si="23">$H$163</f>
        <v>14.5</v>
      </c>
      <c r="I263" s="82" t="s">
        <v>294</v>
      </c>
      <c r="J263" s="92"/>
      <c r="K263" s="82" t="s">
        <v>293</v>
      </c>
      <c r="L263" s="90">
        <f t="shared" ref="L263:L276" si="24">$L$163</f>
        <v>14.5</v>
      </c>
      <c r="M263" s="82" t="s">
        <v>294</v>
      </c>
    </row>
    <row r="264" spans="1:26" ht="13.8" thickBot="1" x14ac:dyDescent="0.3">
      <c r="B264" s="79"/>
      <c r="C264" s="80" t="s">
        <v>688</v>
      </c>
      <c r="D264" s="79"/>
      <c r="E264" s="79"/>
      <c r="F264" s="91">
        <v>5</v>
      </c>
      <c r="G264" s="82" t="s">
        <v>293</v>
      </c>
      <c r="H264" s="90">
        <f t="shared" si="23"/>
        <v>14.5</v>
      </c>
      <c r="I264" s="82" t="s">
        <v>294</v>
      </c>
      <c r="J264" s="92">
        <v>10</v>
      </c>
      <c r="K264" s="82" t="s">
        <v>293</v>
      </c>
      <c r="L264" s="90">
        <f t="shared" si="24"/>
        <v>14.5</v>
      </c>
      <c r="M264" s="82" t="s">
        <v>294</v>
      </c>
    </row>
    <row r="265" spans="1:26" ht="13.8" thickBot="1" x14ac:dyDescent="0.3">
      <c r="B265" s="79"/>
      <c r="C265" s="80" t="s">
        <v>303</v>
      </c>
      <c r="D265" s="79"/>
      <c r="E265" s="79"/>
      <c r="F265" s="91">
        <v>4</v>
      </c>
      <c r="G265" s="82" t="s">
        <v>293</v>
      </c>
      <c r="H265" s="90">
        <f t="shared" si="23"/>
        <v>14.5</v>
      </c>
      <c r="I265" s="82" t="s">
        <v>294</v>
      </c>
      <c r="J265" s="92"/>
      <c r="K265" s="82" t="s">
        <v>293</v>
      </c>
      <c r="L265" s="90">
        <f t="shared" si="24"/>
        <v>14.5</v>
      </c>
      <c r="M265" s="82" t="s">
        <v>294</v>
      </c>
    </row>
    <row r="266" spans="1:26" s="5" customFormat="1" ht="13.8" thickBot="1" x14ac:dyDescent="0.3">
      <c r="A266" s="314"/>
      <c r="B266" s="79"/>
      <c r="C266" s="80" t="s">
        <v>38</v>
      </c>
      <c r="D266" s="79"/>
      <c r="E266" s="79"/>
      <c r="F266" s="91"/>
      <c r="G266" s="82" t="s">
        <v>212</v>
      </c>
      <c r="H266" s="91"/>
      <c r="I266" s="82" t="s">
        <v>206</v>
      </c>
      <c r="J266" s="91">
        <f>'Gårdens info'!S30*(100%-S10)</f>
        <v>1900</v>
      </c>
      <c r="K266" s="82" t="s">
        <v>8</v>
      </c>
      <c r="L266" s="91">
        <v>4</v>
      </c>
      <c r="M266" s="82" t="s">
        <v>206</v>
      </c>
      <c r="N266"/>
      <c r="O266"/>
      <c r="P266"/>
      <c r="Q266"/>
      <c r="R266"/>
      <c r="S266"/>
      <c r="T266"/>
      <c r="U266"/>
      <c r="Y266"/>
      <c r="Z266"/>
    </row>
    <row r="267" spans="1:26" ht="13.8" thickBot="1" x14ac:dyDescent="0.3">
      <c r="B267" s="79"/>
      <c r="C267" s="80" t="s">
        <v>38</v>
      </c>
      <c r="D267" s="79"/>
      <c r="E267" s="79"/>
      <c r="F267" s="91">
        <v>20</v>
      </c>
      <c r="G267" s="82" t="s">
        <v>293</v>
      </c>
      <c r="H267" s="90">
        <f t="shared" si="23"/>
        <v>14.5</v>
      </c>
      <c r="I267" s="82" t="s">
        <v>294</v>
      </c>
      <c r="J267" s="92"/>
      <c r="K267" s="82" t="s">
        <v>293</v>
      </c>
      <c r="L267" s="90">
        <f t="shared" si="24"/>
        <v>14.5</v>
      </c>
      <c r="M267" s="82" t="s">
        <v>294</v>
      </c>
      <c r="N267" s="5"/>
      <c r="O267" s="5"/>
      <c r="P267" s="5"/>
      <c r="Q267" s="5"/>
      <c r="R267" s="5"/>
      <c r="S267" s="5"/>
      <c r="T267" s="5"/>
      <c r="U267" s="5"/>
    </row>
    <row r="268" spans="1:26" ht="13.8" thickBot="1" x14ac:dyDescent="0.3">
      <c r="B268" s="79"/>
      <c r="C268" s="80" t="s">
        <v>689</v>
      </c>
      <c r="D268" s="79"/>
      <c r="E268" s="79"/>
      <c r="F268" s="91">
        <v>10</v>
      </c>
      <c r="G268" s="82" t="s">
        <v>293</v>
      </c>
      <c r="H268" s="90">
        <f t="shared" si="23"/>
        <v>14.5</v>
      </c>
      <c r="I268" s="82" t="s">
        <v>294</v>
      </c>
      <c r="J268" s="92">
        <v>30</v>
      </c>
      <c r="K268" s="82" t="s">
        <v>293</v>
      </c>
      <c r="L268" s="90">
        <f t="shared" si="24"/>
        <v>14.5</v>
      </c>
      <c r="M268" s="82" t="s">
        <v>294</v>
      </c>
      <c r="Y268" s="5"/>
      <c r="Z268" s="5"/>
    </row>
    <row r="269" spans="1:26" ht="13.8" thickBot="1" x14ac:dyDescent="0.3">
      <c r="B269" s="79"/>
      <c r="C269" s="80" t="s">
        <v>690</v>
      </c>
      <c r="D269" s="79"/>
      <c r="E269" s="79"/>
      <c r="F269" s="91">
        <v>4</v>
      </c>
      <c r="G269" s="82" t="s">
        <v>293</v>
      </c>
      <c r="H269" s="90">
        <f t="shared" si="23"/>
        <v>14.5</v>
      </c>
      <c r="I269" s="82" t="s">
        <v>294</v>
      </c>
      <c r="J269" s="92"/>
      <c r="K269" s="82" t="s">
        <v>293</v>
      </c>
      <c r="L269" s="90">
        <f t="shared" si="24"/>
        <v>14.5</v>
      </c>
      <c r="M269" s="82" t="s">
        <v>294</v>
      </c>
    </row>
    <row r="270" spans="1:26" ht="13.8" thickBot="1" x14ac:dyDescent="0.3">
      <c r="B270" s="79"/>
      <c r="C270" s="80" t="s">
        <v>691</v>
      </c>
      <c r="D270" s="79"/>
      <c r="E270" s="79"/>
      <c r="F270" s="91">
        <v>10</v>
      </c>
      <c r="G270" s="82" t="s">
        <v>293</v>
      </c>
      <c r="H270" s="90">
        <f t="shared" si="23"/>
        <v>14.5</v>
      </c>
      <c r="I270" s="82" t="s">
        <v>294</v>
      </c>
      <c r="J270" s="92"/>
      <c r="K270" s="82" t="s">
        <v>293</v>
      </c>
      <c r="L270" s="90">
        <f t="shared" si="24"/>
        <v>14.5</v>
      </c>
      <c r="M270" s="82" t="s">
        <v>294</v>
      </c>
    </row>
    <row r="271" spans="1:26" ht="13.8" thickBot="1" x14ac:dyDescent="0.3">
      <c r="B271" s="79"/>
      <c r="C271" s="80" t="s">
        <v>503</v>
      </c>
      <c r="D271" s="79"/>
      <c r="E271" s="79"/>
      <c r="F271" s="92">
        <v>20</v>
      </c>
      <c r="G271" s="82" t="s">
        <v>293</v>
      </c>
      <c r="H271" s="90">
        <f t="shared" si="23"/>
        <v>14.5</v>
      </c>
      <c r="I271" s="82" t="s">
        <v>294</v>
      </c>
      <c r="J271" s="92"/>
      <c r="K271" s="82" t="s">
        <v>293</v>
      </c>
      <c r="L271" s="90">
        <f t="shared" si="24"/>
        <v>14.5</v>
      </c>
      <c r="M271" s="82" t="s">
        <v>294</v>
      </c>
    </row>
    <row r="272" spans="1:26" ht="13.8" thickBot="1" x14ac:dyDescent="0.3">
      <c r="B272" s="79"/>
      <c r="C272" s="80" t="s">
        <v>692</v>
      </c>
      <c r="D272" s="79"/>
      <c r="E272" s="79"/>
      <c r="F272" s="92">
        <v>40</v>
      </c>
      <c r="G272" s="82" t="s">
        <v>293</v>
      </c>
      <c r="H272" s="90">
        <f t="shared" si="23"/>
        <v>14.5</v>
      </c>
      <c r="I272" s="82" t="s">
        <v>294</v>
      </c>
      <c r="J272" s="92">
        <v>40</v>
      </c>
      <c r="K272" s="82" t="s">
        <v>293</v>
      </c>
      <c r="L272" s="90">
        <f t="shared" si="24"/>
        <v>14.5</v>
      </c>
      <c r="M272" s="82" t="s">
        <v>294</v>
      </c>
    </row>
    <row r="273" spans="2:13" ht="13.8" thickBot="1" x14ac:dyDescent="0.3">
      <c r="B273" s="79"/>
      <c r="C273" s="80" t="s">
        <v>693</v>
      </c>
      <c r="D273" s="79"/>
      <c r="E273" s="79"/>
      <c r="F273" s="92">
        <v>20</v>
      </c>
      <c r="G273" s="82" t="s">
        <v>293</v>
      </c>
      <c r="H273" s="90">
        <f t="shared" si="23"/>
        <v>14.5</v>
      </c>
      <c r="I273" s="82" t="s">
        <v>294</v>
      </c>
      <c r="J273" s="92"/>
      <c r="K273" s="82" t="s">
        <v>293</v>
      </c>
      <c r="L273" s="90">
        <f t="shared" si="24"/>
        <v>14.5</v>
      </c>
      <c r="M273" s="82" t="s">
        <v>294</v>
      </c>
    </row>
    <row r="274" spans="2:13" ht="13.8" thickBot="1" x14ac:dyDescent="0.3">
      <c r="B274" s="79"/>
      <c r="C274" s="80" t="s">
        <v>431</v>
      </c>
      <c r="D274" s="79"/>
      <c r="E274" s="79"/>
      <c r="F274" s="92"/>
      <c r="G274" s="82" t="s">
        <v>293</v>
      </c>
      <c r="H274" s="90">
        <f t="shared" si="23"/>
        <v>14.5</v>
      </c>
      <c r="I274" s="82" t="s">
        <v>294</v>
      </c>
      <c r="J274" s="75"/>
      <c r="K274" s="82" t="s">
        <v>293</v>
      </c>
      <c r="L274" s="90">
        <f t="shared" si="24"/>
        <v>14.5</v>
      </c>
      <c r="M274" s="82" t="s">
        <v>294</v>
      </c>
    </row>
    <row r="275" spans="2:13" ht="13.8" thickBot="1" x14ac:dyDescent="0.3">
      <c r="B275" s="79"/>
      <c r="C275" s="80" t="s">
        <v>431</v>
      </c>
      <c r="D275" s="79"/>
      <c r="E275" s="79"/>
      <c r="F275" s="92"/>
      <c r="G275" s="82" t="s">
        <v>293</v>
      </c>
      <c r="H275" s="90">
        <f t="shared" si="23"/>
        <v>14.5</v>
      </c>
      <c r="I275" s="82" t="s">
        <v>294</v>
      </c>
      <c r="J275" s="75"/>
      <c r="K275" s="82" t="s">
        <v>293</v>
      </c>
      <c r="L275" s="90">
        <f t="shared" si="24"/>
        <v>14.5</v>
      </c>
      <c r="M275" s="82" t="s">
        <v>294</v>
      </c>
    </row>
    <row r="276" spans="2:13" ht="13.8" thickBot="1" x14ac:dyDescent="0.3">
      <c r="B276" s="79"/>
      <c r="C276" s="80" t="s">
        <v>431</v>
      </c>
      <c r="D276" s="81"/>
      <c r="E276" s="81"/>
      <c r="F276" s="75"/>
      <c r="G276" s="82" t="s">
        <v>293</v>
      </c>
      <c r="H276" s="90">
        <f t="shared" si="23"/>
        <v>14.5</v>
      </c>
      <c r="I276" s="82" t="s">
        <v>294</v>
      </c>
      <c r="J276" s="75"/>
      <c r="K276" s="82" t="s">
        <v>293</v>
      </c>
      <c r="L276" s="90">
        <f t="shared" si="24"/>
        <v>14.5</v>
      </c>
      <c r="M276" s="82" t="s">
        <v>294</v>
      </c>
    </row>
    <row r="277" spans="2:13" x14ac:dyDescent="0.25">
      <c r="B277" s="209"/>
      <c r="C277" s="210" t="s">
        <v>54</v>
      </c>
      <c r="D277" s="211"/>
      <c r="E277" s="211"/>
      <c r="F277" s="212">
        <f>SUM(F263:F265)+SUM(F267:F276)</f>
        <v>134</v>
      </c>
      <c r="G277" s="209" t="s">
        <v>293</v>
      </c>
      <c r="H277" s="213">
        <f>F277*H163+F266*H266</f>
        <v>1943</v>
      </c>
      <c r="I277" s="209" t="s">
        <v>57</v>
      </c>
      <c r="J277" s="212">
        <f>SUM(J263:J265,J267:J276)</f>
        <v>80</v>
      </c>
      <c r="K277" s="209" t="s">
        <v>293</v>
      </c>
      <c r="L277" s="213">
        <f>J277*L163+J266*L266</f>
        <v>8760</v>
      </c>
      <c r="M277" s="209" t="s">
        <v>57</v>
      </c>
    </row>
    <row r="278" spans="2:13" ht="39" customHeight="1" thickBot="1" x14ac:dyDescent="0.3">
      <c r="B278" s="116"/>
      <c r="C278" s="116"/>
      <c r="D278" s="116"/>
      <c r="E278" s="116"/>
      <c r="F278" s="116"/>
      <c r="G278" s="116"/>
      <c r="H278" s="116"/>
      <c r="I278" s="116"/>
      <c r="J278" s="116"/>
      <c r="K278" s="116"/>
      <c r="L278" s="116"/>
      <c r="M278" s="116"/>
    </row>
    <row r="279" spans="2:13" ht="21.6" customHeight="1" thickBot="1" x14ac:dyDescent="0.45">
      <c r="B279" s="1078" t="s">
        <v>581</v>
      </c>
      <c r="C279" s="1079"/>
      <c r="D279" s="1079"/>
      <c r="E279" s="1080"/>
      <c r="F279" s="116"/>
      <c r="G279" s="116"/>
      <c r="H279" s="116"/>
      <c r="I279" s="116"/>
      <c r="J279" s="1140" t="s">
        <v>241</v>
      </c>
      <c r="K279" s="1140"/>
      <c r="L279" s="1140"/>
      <c r="M279" s="116"/>
    </row>
    <row r="280" spans="2:13" x14ac:dyDescent="0.25">
      <c r="B280" s="116"/>
      <c r="C280" s="116"/>
      <c r="D280" s="116"/>
      <c r="E280" s="116"/>
      <c r="F280" s="116"/>
      <c r="G280" s="116"/>
      <c r="H280" s="116"/>
      <c r="I280" s="116"/>
      <c r="J280" s="116"/>
      <c r="K280" s="116"/>
      <c r="L280" s="116"/>
      <c r="M280" s="116"/>
    </row>
    <row r="281" spans="2:13" ht="15" customHeight="1" x14ac:dyDescent="0.25">
      <c r="B281" s="1128" t="s">
        <v>636</v>
      </c>
      <c r="C281" s="1128"/>
      <c r="D281" s="1128"/>
      <c r="E281" s="1128"/>
      <c r="F281" s="1128"/>
      <c r="G281" s="1128"/>
      <c r="H281" s="1128"/>
      <c r="I281" s="1128"/>
      <c r="J281" s="1128"/>
      <c r="K281" s="1128"/>
      <c r="L281" s="1128"/>
      <c r="M281" s="1128"/>
    </row>
    <row r="282" spans="2:13" x14ac:dyDescent="0.25">
      <c r="B282" s="116"/>
      <c r="C282" s="116"/>
      <c r="D282" s="116"/>
      <c r="E282" s="116"/>
      <c r="F282" s="116"/>
      <c r="G282" s="116"/>
      <c r="H282" s="116"/>
      <c r="I282" s="116"/>
      <c r="J282" s="116"/>
      <c r="K282" s="116"/>
      <c r="L282" s="116"/>
      <c r="M282" s="116"/>
    </row>
    <row r="283" spans="2:13" ht="15.6" x14ac:dyDescent="0.3">
      <c r="B283" s="85" t="s">
        <v>694</v>
      </c>
      <c r="C283" s="51"/>
      <c r="D283" s="51"/>
      <c r="E283" s="51"/>
      <c r="F283" s="1075" t="s">
        <v>114</v>
      </c>
      <c r="G283" s="1075"/>
      <c r="H283" s="1076" t="s">
        <v>113</v>
      </c>
      <c r="I283" s="1076"/>
      <c r="J283" s="1075" t="s">
        <v>243</v>
      </c>
      <c r="K283" s="1075"/>
      <c r="L283" s="58"/>
      <c r="M283" s="58"/>
    </row>
    <row r="284" spans="2:13" ht="15.6" x14ac:dyDescent="0.3">
      <c r="B284" s="85"/>
      <c r="C284" s="51"/>
      <c r="D284" s="387" t="s">
        <v>495</v>
      </c>
      <c r="E284" s="51"/>
      <c r="F284" s="59"/>
      <c r="G284" s="59"/>
      <c r="H284" s="60"/>
      <c r="I284" s="60"/>
      <c r="J284" s="59"/>
      <c r="K284" s="59"/>
      <c r="L284" s="58"/>
      <c r="M284" s="58"/>
    </row>
    <row r="285" spans="2:13" ht="13.8" thickBot="1" x14ac:dyDescent="0.3">
      <c r="B285" s="171" t="s">
        <v>254</v>
      </c>
      <c r="C285" s="51"/>
      <c r="D285" s="51"/>
      <c r="E285" s="51"/>
      <c r="F285" s="53"/>
      <c r="G285" s="53"/>
      <c r="H285" s="52"/>
      <c r="I285" s="52"/>
      <c r="J285" s="58"/>
      <c r="K285" s="58"/>
      <c r="L285" s="58"/>
      <c r="M285" s="58"/>
    </row>
    <row r="286" spans="2:13" ht="13.8" thickBot="1" x14ac:dyDescent="0.3">
      <c r="B286" s="51"/>
      <c r="C286" s="51" t="s">
        <v>603</v>
      </c>
      <c r="D286" s="58"/>
      <c r="E286" s="51"/>
      <c r="F286" s="95">
        <v>3.3</v>
      </c>
      <c r="G286" s="53" t="s">
        <v>256</v>
      </c>
      <c r="H286" s="77">
        <v>16.8</v>
      </c>
      <c r="I286" s="52" t="s">
        <v>257</v>
      </c>
      <c r="J286" s="58">
        <f>F286*H286</f>
        <v>55.44</v>
      </c>
      <c r="K286" s="51" t="s">
        <v>57</v>
      </c>
      <c r="L286" s="58"/>
      <c r="M286" s="58"/>
    </row>
    <row r="287" spans="2:13" ht="13.8" thickBot="1" x14ac:dyDescent="0.3">
      <c r="B287" s="51"/>
      <c r="C287" s="51" t="s">
        <v>265</v>
      </c>
      <c r="D287" s="51"/>
      <c r="E287" s="51"/>
      <c r="F287" s="95"/>
      <c r="G287" s="53" t="s">
        <v>256</v>
      </c>
      <c r="H287" s="77"/>
      <c r="I287" s="52" t="s">
        <v>257</v>
      </c>
      <c r="J287" s="58">
        <f t="shared" ref="J287:J288" si="25">F287*H287</f>
        <v>0</v>
      </c>
      <c r="K287" s="51" t="s">
        <v>57</v>
      </c>
      <c r="L287" s="58"/>
      <c r="M287" s="58"/>
    </row>
    <row r="288" spans="2:13" ht="13.8" thickBot="1" x14ac:dyDescent="0.3">
      <c r="B288" s="51"/>
      <c r="C288" s="51" t="s">
        <v>265</v>
      </c>
      <c r="D288" s="51"/>
      <c r="E288" s="51"/>
      <c r="F288" s="95"/>
      <c r="G288" s="53" t="s">
        <v>256</v>
      </c>
      <c r="H288" s="77"/>
      <c r="I288" s="52" t="s">
        <v>257</v>
      </c>
      <c r="J288" s="58">
        <f t="shared" si="25"/>
        <v>0</v>
      </c>
      <c r="K288" s="51" t="s">
        <v>57</v>
      </c>
      <c r="L288" s="58"/>
      <c r="M288" s="58"/>
    </row>
    <row r="289" spans="1:26" s="5" customFormat="1" x14ac:dyDescent="0.25">
      <c r="A289" s="314"/>
      <c r="B289" s="51"/>
      <c r="C289" s="51"/>
      <c r="D289" s="51"/>
      <c r="E289" s="51"/>
      <c r="F289" s="53"/>
      <c r="G289" s="53"/>
      <c r="H289" s="52"/>
      <c r="I289" s="52"/>
      <c r="J289" s="58"/>
      <c r="K289" s="51"/>
      <c r="L289" s="58"/>
      <c r="M289" s="58"/>
      <c r="N289"/>
      <c r="O289"/>
      <c r="P289"/>
      <c r="Q289"/>
      <c r="R289"/>
      <c r="S289"/>
      <c r="T289"/>
      <c r="U289"/>
      <c r="Y289"/>
      <c r="Z289"/>
    </row>
    <row r="290" spans="1:26" ht="13.8" thickBot="1" x14ac:dyDescent="0.3">
      <c r="B290" s="171" t="s">
        <v>266</v>
      </c>
      <c r="C290" s="51"/>
      <c r="D290" s="51"/>
      <c r="E290" s="51"/>
      <c r="F290" s="53"/>
      <c r="G290" s="53"/>
      <c r="H290" s="52"/>
      <c r="I290" s="52"/>
      <c r="J290" s="58"/>
      <c r="K290" s="51"/>
      <c r="L290" s="58"/>
      <c r="M290" s="58"/>
      <c r="N290" s="5"/>
      <c r="O290" s="5"/>
      <c r="P290" s="5"/>
      <c r="Q290" s="5"/>
      <c r="R290" s="5"/>
      <c r="S290" s="5"/>
      <c r="T290" s="5"/>
      <c r="U290" s="5"/>
    </row>
    <row r="291" spans="1:26" ht="13.8" thickBot="1" x14ac:dyDescent="0.3">
      <c r="B291" s="51"/>
      <c r="C291" s="51" t="s">
        <v>695</v>
      </c>
      <c r="D291" s="51"/>
      <c r="E291" s="51"/>
      <c r="F291" s="95"/>
      <c r="G291" s="53"/>
      <c r="H291" s="95"/>
      <c r="I291" s="52"/>
      <c r="J291" s="58"/>
      <c r="K291" s="51" t="s">
        <v>57</v>
      </c>
      <c r="L291" s="58"/>
      <c r="M291" s="58"/>
      <c r="Y291" s="5"/>
      <c r="Z291" s="5"/>
    </row>
    <row r="292" spans="1:26" ht="13.8" thickBot="1" x14ac:dyDescent="0.3">
      <c r="B292" s="51"/>
      <c r="C292" s="51" t="s">
        <v>267</v>
      </c>
      <c r="D292" s="51"/>
      <c r="E292" s="51"/>
      <c r="F292" s="95"/>
      <c r="G292" s="53"/>
      <c r="H292" s="95"/>
      <c r="I292" s="52"/>
      <c r="J292" s="58"/>
      <c r="K292" s="51" t="s">
        <v>57</v>
      </c>
      <c r="L292" s="58"/>
      <c r="M292" s="58"/>
    </row>
    <row r="293" spans="1:26" s="69" customFormat="1" ht="15.6" thickBot="1" x14ac:dyDescent="0.3">
      <c r="A293" s="316"/>
      <c r="B293" s="51"/>
      <c r="C293" s="51" t="s">
        <v>267</v>
      </c>
      <c r="D293" s="51"/>
      <c r="E293" s="51"/>
      <c r="F293" s="95"/>
      <c r="G293" s="53"/>
      <c r="H293" s="95"/>
      <c r="I293" s="52"/>
      <c r="J293" s="58"/>
      <c r="K293" s="51" t="s">
        <v>57</v>
      </c>
      <c r="L293" s="58"/>
      <c r="M293" s="58"/>
      <c r="N293"/>
      <c r="O293"/>
      <c r="P293"/>
      <c r="Q293"/>
      <c r="R293"/>
      <c r="S293"/>
      <c r="T293"/>
      <c r="U293"/>
      <c r="Y293"/>
      <c r="Z293"/>
    </row>
    <row r="294" spans="1:26" ht="31.2" customHeight="1" x14ac:dyDescent="0.25">
      <c r="B294" s="195"/>
      <c r="C294" s="195" t="s">
        <v>54</v>
      </c>
      <c r="D294" s="195"/>
      <c r="E294" s="195"/>
      <c r="F294" s="196"/>
      <c r="G294" s="196"/>
      <c r="H294" s="196"/>
      <c r="I294" s="197"/>
      <c r="J294" s="195">
        <f>SUM(J286:J293)</f>
        <v>55.44</v>
      </c>
      <c r="K294" s="195" t="s">
        <v>57</v>
      </c>
      <c r="L294" s="195"/>
      <c r="M294" s="195"/>
      <c r="N294" s="69"/>
      <c r="O294" s="69"/>
      <c r="P294" s="69"/>
      <c r="Q294" s="69"/>
      <c r="R294" s="69"/>
      <c r="S294" s="69"/>
      <c r="T294" s="69"/>
      <c r="U294" s="69"/>
    </row>
    <row r="295" spans="1:26" ht="15" x14ac:dyDescent="0.25">
      <c r="B295" s="51"/>
      <c r="C295" s="51"/>
      <c r="D295" s="54"/>
      <c r="E295" s="51"/>
      <c r="F295" s="51"/>
      <c r="G295" s="53"/>
      <c r="H295" s="52"/>
      <c r="I295" s="52"/>
      <c r="J295" s="52"/>
      <c r="K295" s="58"/>
      <c r="L295" s="58"/>
      <c r="M295" s="58"/>
      <c r="Y295" s="69"/>
      <c r="Z295" s="69"/>
    </row>
    <row r="296" spans="1:26" x14ac:dyDescent="0.25">
      <c r="B296" s="435"/>
      <c r="C296" s="435"/>
      <c r="D296" s="445"/>
      <c r="E296" s="435"/>
      <c r="F296" s="435"/>
      <c r="G296" s="439"/>
      <c r="H296" s="437"/>
      <c r="I296" s="437"/>
      <c r="J296" s="437"/>
      <c r="K296" s="116"/>
      <c r="L296" s="116"/>
      <c r="M296" s="116"/>
    </row>
    <row r="297" spans="1:26" ht="15.6" x14ac:dyDescent="0.3">
      <c r="B297" s="176" t="s">
        <v>638</v>
      </c>
      <c r="C297" s="177"/>
      <c r="D297" s="177"/>
      <c r="E297" s="177"/>
      <c r="F297" s="1067" t="s">
        <v>114</v>
      </c>
      <c r="G297" s="1067"/>
      <c r="H297" s="1067" t="s">
        <v>113</v>
      </c>
      <c r="I297" s="1067"/>
      <c r="J297" s="1067" t="s">
        <v>243</v>
      </c>
      <c r="K297" s="1067"/>
      <c r="L297" s="179"/>
      <c r="M297" s="179"/>
    </row>
    <row r="298" spans="1:26" ht="13.8" thickBot="1" x14ac:dyDescent="0.3">
      <c r="B298" s="177"/>
      <c r="C298" s="177"/>
      <c r="D298" s="177"/>
      <c r="E298" s="177"/>
      <c r="F298" s="177"/>
      <c r="G298" s="177"/>
      <c r="H298" s="178"/>
      <c r="I298" s="178"/>
      <c r="J298" s="179"/>
      <c r="K298" s="179"/>
      <c r="L298" s="179"/>
      <c r="M298" s="179"/>
    </row>
    <row r="299" spans="1:26" ht="13.8" thickBot="1" x14ac:dyDescent="0.3">
      <c r="B299" s="177"/>
      <c r="C299" s="177" t="s">
        <v>696</v>
      </c>
      <c r="D299" s="179"/>
      <c r="E299" s="177"/>
      <c r="F299" s="74">
        <v>2</v>
      </c>
      <c r="G299" s="177" t="s">
        <v>7</v>
      </c>
      <c r="H299" s="77">
        <v>62</v>
      </c>
      <c r="I299" s="178" t="s">
        <v>294</v>
      </c>
      <c r="J299" s="180">
        <f t="shared" ref="J299:J301" si="26">F299*H299</f>
        <v>124</v>
      </c>
      <c r="K299" s="177" t="s">
        <v>57</v>
      </c>
      <c r="L299" s="179"/>
      <c r="M299" s="179"/>
    </row>
    <row r="300" spans="1:26" ht="13.8" thickBot="1" x14ac:dyDescent="0.3">
      <c r="B300" s="177"/>
      <c r="C300" s="177" t="s">
        <v>276</v>
      </c>
      <c r="D300" s="177"/>
      <c r="E300" s="177"/>
      <c r="F300" s="74"/>
      <c r="G300" s="177" t="s">
        <v>7</v>
      </c>
      <c r="H300" s="77"/>
      <c r="I300" s="178" t="s">
        <v>57</v>
      </c>
      <c r="J300" s="180">
        <f t="shared" si="26"/>
        <v>0</v>
      </c>
      <c r="K300" s="177" t="s">
        <v>57</v>
      </c>
      <c r="L300" s="179"/>
      <c r="M300" s="179"/>
    </row>
    <row r="301" spans="1:26" ht="13.8" thickBot="1" x14ac:dyDescent="0.3">
      <c r="B301" s="177"/>
      <c r="C301" s="177" t="s">
        <v>276</v>
      </c>
      <c r="D301" s="177"/>
      <c r="E301" s="177"/>
      <c r="F301" s="74"/>
      <c r="G301" s="177" t="s">
        <v>7</v>
      </c>
      <c r="H301" s="77"/>
      <c r="I301" s="178" t="s">
        <v>57</v>
      </c>
      <c r="J301" s="180">
        <f t="shared" si="26"/>
        <v>0</v>
      </c>
      <c r="K301" s="177" t="s">
        <v>57</v>
      </c>
      <c r="L301" s="179"/>
      <c r="M301" s="179"/>
    </row>
    <row r="302" spans="1:26" x14ac:dyDescent="0.25">
      <c r="B302" s="204"/>
      <c r="C302" s="204" t="s">
        <v>54</v>
      </c>
      <c r="D302" s="204"/>
      <c r="E302" s="204"/>
      <c r="F302" s="204"/>
      <c r="G302" s="204"/>
      <c r="H302" s="205"/>
      <c r="I302" s="205"/>
      <c r="J302" s="206">
        <f>SUM(J299:J301)</f>
        <v>124</v>
      </c>
      <c r="K302" s="204" t="s">
        <v>57</v>
      </c>
      <c r="L302" s="204"/>
      <c r="M302" s="204"/>
    </row>
    <row r="303" spans="1:26" x14ac:dyDescent="0.25">
      <c r="B303" s="177"/>
      <c r="C303" s="177"/>
      <c r="D303" s="177"/>
      <c r="E303" s="177"/>
      <c r="F303" s="177"/>
      <c r="G303" s="177"/>
      <c r="H303" s="178"/>
      <c r="I303" s="178"/>
      <c r="J303" s="180"/>
      <c r="K303" s="177"/>
      <c r="L303" s="179"/>
      <c r="M303" s="179"/>
    </row>
    <row r="305" spans="1:26" ht="15.6" x14ac:dyDescent="0.3">
      <c r="B305" s="181" t="s">
        <v>639</v>
      </c>
      <c r="C305" s="182"/>
      <c r="D305" s="182"/>
      <c r="E305" s="183"/>
      <c r="F305" s="182" t="s">
        <v>114</v>
      </c>
      <c r="G305" s="184"/>
      <c r="H305" s="184" t="s">
        <v>113</v>
      </c>
      <c r="I305" s="182"/>
      <c r="J305" s="182" t="s">
        <v>243</v>
      </c>
      <c r="K305" s="185"/>
      <c r="L305" s="185"/>
      <c r="M305" s="185"/>
    </row>
    <row r="306" spans="1:26" s="5" customFormat="1" ht="16.2" thickBot="1" x14ac:dyDescent="0.35">
      <c r="A306" s="314"/>
      <c r="B306" s="181"/>
      <c r="C306" s="182"/>
      <c r="D306" s="182"/>
      <c r="E306" s="183"/>
      <c r="F306" s="182"/>
      <c r="G306" s="184"/>
      <c r="H306" s="184"/>
      <c r="I306" s="182"/>
      <c r="J306" s="182"/>
      <c r="K306" s="185"/>
      <c r="L306" s="185"/>
      <c r="M306" s="185"/>
      <c r="N306"/>
      <c r="O306"/>
      <c r="P306"/>
      <c r="Q306"/>
      <c r="R306"/>
      <c r="S306"/>
      <c r="T306"/>
      <c r="U306"/>
      <c r="Y306"/>
      <c r="Z306"/>
    </row>
    <row r="307" spans="1:26" ht="13.8" thickBot="1" x14ac:dyDescent="0.3">
      <c r="A307" s="319"/>
      <c r="B307" s="182"/>
      <c r="C307" s="182" t="s">
        <v>697</v>
      </c>
      <c r="D307" s="185"/>
      <c r="E307" s="186"/>
      <c r="F307" s="74"/>
      <c r="G307" s="187" t="s">
        <v>279</v>
      </c>
      <c r="H307" s="74"/>
      <c r="I307" s="188" t="s">
        <v>280</v>
      </c>
      <c r="J307" s="185">
        <f>H307*F307</f>
        <v>0</v>
      </c>
      <c r="K307" s="188" t="s">
        <v>57</v>
      </c>
      <c r="L307" s="185"/>
      <c r="M307" s="185"/>
      <c r="N307" s="5"/>
      <c r="O307" s="5"/>
      <c r="P307" s="5"/>
      <c r="Q307" s="5"/>
      <c r="R307" s="5"/>
      <c r="S307" s="5"/>
      <c r="T307" s="5"/>
      <c r="U307" s="5"/>
    </row>
    <row r="308" spans="1:26" ht="13.8" thickBot="1" x14ac:dyDescent="0.3">
      <c r="A308" s="319"/>
      <c r="B308" s="182"/>
      <c r="C308" s="182" t="s">
        <v>698</v>
      </c>
      <c r="D308" s="188">
        <f>F328/2</f>
        <v>11</v>
      </c>
      <c r="E308" s="182" t="s">
        <v>282</v>
      </c>
      <c r="F308" s="74">
        <f>+D308*8</f>
        <v>88</v>
      </c>
      <c r="G308" s="184" t="s">
        <v>256</v>
      </c>
      <c r="H308" s="74">
        <v>0.83</v>
      </c>
      <c r="I308" s="188" t="s">
        <v>257</v>
      </c>
      <c r="J308" s="185">
        <f>H308*F308</f>
        <v>73.039999999999992</v>
      </c>
      <c r="K308" s="188" t="s">
        <v>57</v>
      </c>
      <c r="L308" s="185"/>
      <c r="M308" s="185"/>
      <c r="Y308" s="5"/>
      <c r="Z308" s="5"/>
    </row>
    <row r="309" spans="1:26" ht="13.8" thickBot="1" x14ac:dyDescent="0.3">
      <c r="B309" s="182"/>
      <c r="C309" s="182" t="s">
        <v>686</v>
      </c>
      <c r="D309" s="188">
        <f>D308</f>
        <v>11</v>
      </c>
      <c r="E309" s="182" t="s">
        <v>282</v>
      </c>
      <c r="F309" s="74">
        <v>11.88</v>
      </c>
      <c r="G309" s="184" t="s">
        <v>212</v>
      </c>
      <c r="H309" s="74">
        <v>4</v>
      </c>
      <c r="I309" s="188" t="s">
        <v>206</v>
      </c>
      <c r="J309" s="185">
        <f t="shared" ref="J309:J313" si="27">H309*F309</f>
        <v>47.52</v>
      </c>
      <c r="K309" s="188" t="s">
        <v>57</v>
      </c>
      <c r="L309" s="185"/>
      <c r="M309" s="185"/>
    </row>
    <row r="310" spans="1:26" ht="13.8" thickBot="1" x14ac:dyDescent="0.3">
      <c r="B310" s="182"/>
      <c r="C310" s="182" t="s">
        <v>284</v>
      </c>
      <c r="D310" s="185"/>
      <c r="E310" s="188"/>
      <c r="F310" s="74"/>
      <c r="G310" s="184" t="s">
        <v>256</v>
      </c>
      <c r="H310" s="74">
        <v>1.53</v>
      </c>
      <c r="I310" s="188" t="s">
        <v>257</v>
      </c>
      <c r="J310" s="185">
        <f t="shared" si="27"/>
        <v>0</v>
      </c>
      <c r="K310" s="188" t="s">
        <v>57</v>
      </c>
      <c r="L310" s="185"/>
      <c r="M310" s="185"/>
    </row>
    <row r="311" spans="1:26" ht="13.8" thickBot="1" x14ac:dyDescent="0.3">
      <c r="B311" s="182"/>
      <c r="C311" s="182" t="s">
        <v>285</v>
      </c>
      <c r="D311" s="185"/>
      <c r="E311" s="188"/>
      <c r="F311" s="74"/>
      <c r="G311" s="184" t="s">
        <v>256</v>
      </c>
      <c r="H311" s="74">
        <v>1.6</v>
      </c>
      <c r="I311" s="188" t="s">
        <v>257</v>
      </c>
      <c r="J311" s="185">
        <f t="shared" si="27"/>
        <v>0</v>
      </c>
      <c r="K311" s="188" t="s">
        <v>57</v>
      </c>
      <c r="L311" s="185"/>
      <c r="M311" s="185"/>
    </row>
    <row r="312" spans="1:26" ht="13.8" thickBot="1" x14ac:dyDescent="0.3">
      <c r="B312" s="182"/>
      <c r="C312" s="182" t="s">
        <v>286</v>
      </c>
      <c r="D312" s="185"/>
      <c r="E312" s="188"/>
      <c r="F312" s="74"/>
      <c r="G312" s="184"/>
      <c r="H312" s="74"/>
      <c r="I312" s="188"/>
      <c r="J312" s="185">
        <f t="shared" si="27"/>
        <v>0</v>
      </c>
      <c r="K312" s="188" t="s">
        <v>57</v>
      </c>
      <c r="L312" s="185"/>
      <c r="M312" s="185"/>
    </row>
    <row r="313" spans="1:26" ht="13.8" thickBot="1" x14ac:dyDescent="0.3">
      <c r="B313" s="185"/>
      <c r="C313" s="182" t="s">
        <v>286</v>
      </c>
      <c r="D313" s="185"/>
      <c r="E313" s="185"/>
      <c r="F313" s="74"/>
      <c r="G313" s="185"/>
      <c r="H313" s="74"/>
      <c r="I313" s="185"/>
      <c r="J313" s="185">
        <f t="shared" si="27"/>
        <v>0</v>
      </c>
      <c r="K313" s="188" t="s">
        <v>57</v>
      </c>
      <c r="L313" s="185"/>
      <c r="M313" s="185"/>
    </row>
    <row r="314" spans="1:26" s="5" customFormat="1" x14ac:dyDescent="0.25">
      <c r="A314" s="314"/>
      <c r="B314" s="207"/>
      <c r="C314" s="207" t="s">
        <v>54</v>
      </c>
      <c r="D314" s="207"/>
      <c r="E314" s="207"/>
      <c r="F314" s="207"/>
      <c r="G314" s="207"/>
      <c r="H314" s="207"/>
      <c r="I314" s="207"/>
      <c r="J314" s="207">
        <f>SUM(J307:J313)</f>
        <v>120.56</v>
      </c>
      <c r="K314" s="208" t="s">
        <v>57</v>
      </c>
      <c r="L314" s="207"/>
      <c r="M314" s="207"/>
      <c r="N314"/>
      <c r="O314"/>
      <c r="P314"/>
      <c r="Q314"/>
      <c r="R314"/>
      <c r="S314"/>
      <c r="T314"/>
      <c r="U314"/>
      <c r="Y314"/>
      <c r="Z314"/>
    </row>
    <row r="315" spans="1:26" x14ac:dyDescent="0.25">
      <c r="B315" s="185"/>
      <c r="C315" s="185"/>
      <c r="D315" s="185"/>
      <c r="E315" s="185"/>
      <c r="F315" s="185"/>
      <c r="G315" s="185"/>
      <c r="H315" s="185"/>
      <c r="I315" s="185"/>
      <c r="J315" s="185"/>
      <c r="K315" s="185"/>
      <c r="L315" s="185"/>
      <c r="M315" s="185"/>
      <c r="N315" s="5"/>
      <c r="O315" s="5"/>
      <c r="P315" s="5"/>
      <c r="Q315" s="5"/>
      <c r="R315" s="5"/>
      <c r="S315" s="5"/>
      <c r="T315" s="5"/>
      <c r="U315" s="5"/>
    </row>
    <row r="316" spans="1:26" ht="33" customHeight="1" x14ac:dyDescent="0.25">
      <c r="Y316" s="5"/>
      <c r="Z316" s="5"/>
    </row>
    <row r="317" spans="1:26" ht="15.6" x14ac:dyDescent="0.3">
      <c r="B317" s="88" t="s">
        <v>640</v>
      </c>
      <c r="C317" s="79"/>
      <c r="D317" s="79"/>
      <c r="E317" s="79"/>
      <c r="F317" s="79"/>
      <c r="G317" s="79"/>
      <c r="H317" s="79"/>
      <c r="I317" s="79"/>
      <c r="J317" s="79"/>
      <c r="K317" s="79"/>
      <c r="L317" s="79"/>
      <c r="M317" s="79"/>
    </row>
    <row r="318" spans="1:26" ht="15.6" x14ac:dyDescent="0.3">
      <c r="B318" s="88"/>
      <c r="C318" s="79"/>
      <c r="D318" s="79"/>
      <c r="E318" s="79"/>
      <c r="F318" s="79"/>
      <c r="G318" s="79"/>
      <c r="H318" s="79"/>
      <c r="I318" s="79"/>
      <c r="J318" s="79"/>
      <c r="K318" s="79"/>
      <c r="L318" s="79"/>
      <c r="M318" s="79"/>
    </row>
    <row r="319" spans="1:26" ht="15" customHeight="1" x14ac:dyDescent="0.25">
      <c r="B319" s="1096" t="s">
        <v>699</v>
      </c>
      <c r="C319" s="1096"/>
      <c r="D319" s="1096"/>
      <c r="E319" s="1096"/>
      <c r="F319" s="1096"/>
      <c r="G319" s="1096"/>
      <c r="H319" s="1096"/>
      <c r="I319" s="1096"/>
      <c r="J319" s="1096"/>
      <c r="K319" s="1096"/>
      <c r="L319" s="1096"/>
      <c r="M319" s="1096"/>
    </row>
    <row r="320" spans="1:26" ht="15.6" x14ac:dyDescent="0.3">
      <c r="B320" s="88"/>
      <c r="C320" s="79"/>
      <c r="D320" s="79"/>
      <c r="E320" s="83"/>
      <c r="F320" s="83"/>
      <c r="G320" s="83"/>
      <c r="H320" s="84"/>
      <c r="I320" s="84"/>
      <c r="J320" s="83"/>
      <c r="K320" s="83"/>
      <c r="L320" s="84"/>
      <c r="M320" s="84"/>
    </row>
    <row r="321" spans="1:26" ht="15.6" x14ac:dyDescent="0.3">
      <c r="B321" s="88"/>
      <c r="C321" s="79"/>
      <c r="D321" s="79"/>
      <c r="E321" s="1069" t="s">
        <v>290</v>
      </c>
      <c r="F321" s="1069"/>
      <c r="G321" s="1069"/>
      <c r="H321" s="1070" t="s">
        <v>113</v>
      </c>
      <c r="I321" s="1070"/>
      <c r="J321" s="1069" t="s">
        <v>291</v>
      </c>
      <c r="K321" s="1069"/>
      <c r="L321" s="1070" t="s">
        <v>113</v>
      </c>
      <c r="M321" s="1070"/>
    </row>
    <row r="322" spans="1:26" ht="15.6" thickBot="1" x14ac:dyDescent="0.3">
      <c r="B322" s="78"/>
      <c r="C322" s="79"/>
      <c r="D322" s="79"/>
      <c r="E322" s="79"/>
      <c r="F322" s="79"/>
      <c r="G322" s="79"/>
      <c r="H322" s="79"/>
      <c r="I322" s="79"/>
      <c r="J322" s="79"/>
      <c r="K322" s="79"/>
      <c r="L322" s="79"/>
      <c r="M322" s="79"/>
    </row>
    <row r="323" spans="1:26" ht="13.8" thickBot="1" x14ac:dyDescent="0.3">
      <c r="B323" s="79"/>
      <c r="C323" s="80" t="s">
        <v>303</v>
      </c>
      <c r="D323" s="79"/>
      <c r="E323" s="79"/>
      <c r="F323" s="91">
        <v>2</v>
      </c>
      <c r="G323" s="82" t="s">
        <v>293</v>
      </c>
      <c r="H323" s="90">
        <f t="shared" ref="H323:H327" si="28">$H$163</f>
        <v>14.5</v>
      </c>
      <c r="I323" s="82" t="s">
        <v>294</v>
      </c>
      <c r="J323" s="92"/>
      <c r="K323" s="82" t="s">
        <v>293</v>
      </c>
      <c r="L323" s="90">
        <f t="shared" ref="L323:L327" si="29">$L$163</f>
        <v>14.5</v>
      </c>
      <c r="M323" s="82" t="s">
        <v>294</v>
      </c>
    </row>
    <row r="324" spans="1:26" ht="13.8" thickBot="1" x14ac:dyDescent="0.3">
      <c r="B324" s="79"/>
      <c r="C324" s="80" t="s">
        <v>700</v>
      </c>
      <c r="D324" s="79"/>
      <c r="E324" s="79"/>
      <c r="F324" s="91">
        <v>20</v>
      </c>
      <c r="G324" s="82" t="s">
        <v>293</v>
      </c>
      <c r="H324" s="90">
        <f t="shared" si="28"/>
        <v>14.5</v>
      </c>
      <c r="I324" s="82" t="s">
        <v>294</v>
      </c>
      <c r="J324" s="92">
        <v>20</v>
      </c>
      <c r="K324" s="82" t="s">
        <v>293</v>
      </c>
      <c r="L324" s="90">
        <f t="shared" si="29"/>
        <v>14.5</v>
      </c>
      <c r="M324" s="82" t="s">
        <v>294</v>
      </c>
    </row>
    <row r="325" spans="1:26" ht="13.8" thickBot="1" x14ac:dyDescent="0.3">
      <c r="B325" s="79"/>
      <c r="C325" s="80" t="s">
        <v>431</v>
      </c>
      <c r="D325" s="79"/>
      <c r="E325" s="79"/>
      <c r="F325" s="92"/>
      <c r="G325" s="82" t="s">
        <v>293</v>
      </c>
      <c r="H325" s="90">
        <f t="shared" si="28"/>
        <v>14.5</v>
      </c>
      <c r="I325" s="82" t="s">
        <v>294</v>
      </c>
      <c r="J325" s="75"/>
      <c r="K325" s="82" t="s">
        <v>293</v>
      </c>
      <c r="L325" s="90">
        <f t="shared" si="29"/>
        <v>14.5</v>
      </c>
      <c r="M325" s="82" t="s">
        <v>294</v>
      </c>
    </row>
    <row r="326" spans="1:26" ht="13.8" thickBot="1" x14ac:dyDescent="0.3">
      <c r="B326" s="79"/>
      <c r="C326" s="80" t="s">
        <v>431</v>
      </c>
      <c r="D326" s="79"/>
      <c r="E326" s="79"/>
      <c r="F326" s="92"/>
      <c r="G326" s="82" t="s">
        <v>293</v>
      </c>
      <c r="H326" s="90">
        <f t="shared" si="28"/>
        <v>14.5</v>
      </c>
      <c r="I326" s="82" t="s">
        <v>294</v>
      </c>
      <c r="J326" s="75"/>
      <c r="K326" s="82" t="s">
        <v>293</v>
      </c>
      <c r="L326" s="90">
        <f t="shared" si="29"/>
        <v>14.5</v>
      </c>
      <c r="M326" s="82" t="s">
        <v>294</v>
      </c>
    </row>
    <row r="327" spans="1:26" s="5" customFormat="1" ht="13.8" thickBot="1" x14ac:dyDescent="0.3">
      <c r="A327" s="314"/>
      <c r="B327" s="79"/>
      <c r="C327" s="80" t="s">
        <v>431</v>
      </c>
      <c r="D327" s="81"/>
      <c r="E327" s="81"/>
      <c r="F327" s="75"/>
      <c r="G327" s="82" t="s">
        <v>293</v>
      </c>
      <c r="H327" s="90">
        <f t="shared" si="28"/>
        <v>14.5</v>
      </c>
      <c r="I327" s="82" t="s">
        <v>294</v>
      </c>
      <c r="J327" s="75"/>
      <c r="K327" s="82" t="s">
        <v>293</v>
      </c>
      <c r="L327" s="90">
        <f t="shared" si="29"/>
        <v>14.5</v>
      </c>
      <c r="M327" s="82" t="s">
        <v>294</v>
      </c>
      <c r="N327"/>
      <c r="O327"/>
      <c r="P327"/>
      <c r="Q327"/>
      <c r="R327"/>
      <c r="S327"/>
      <c r="T327"/>
      <c r="U327"/>
      <c r="Y327"/>
      <c r="Z327"/>
    </row>
    <row r="328" spans="1:26" x14ac:dyDescent="0.25">
      <c r="B328" s="209"/>
      <c r="C328" s="210" t="s">
        <v>54</v>
      </c>
      <c r="D328" s="211"/>
      <c r="E328" s="211"/>
      <c r="F328" s="212">
        <f>SUM(F323:F327)</f>
        <v>22</v>
      </c>
      <c r="G328" s="209" t="s">
        <v>293</v>
      </c>
      <c r="H328" s="213">
        <f>F328*H163</f>
        <v>319</v>
      </c>
      <c r="I328" s="209" t="s">
        <v>57</v>
      </c>
      <c r="J328" s="212">
        <f>SUM(J323:J327)</f>
        <v>20</v>
      </c>
      <c r="K328" s="209" t="s">
        <v>293</v>
      </c>
      <c r="L328" s="213">
        <f>J328*L163</f>
        <v>290</v>
      </c>
      <c r="M328" s="209" t="s">
        <v>57</v>
      </c>
      <c r="N328" s="5"/>
      <c r="O328" s="5"/>
      <c r="P328" s="5"/>
      <c r="Q328" s="5"/>
      <c r="R328" s="5"/>
      <c r="S328" s="5"/>
      <c r="T328" s="5"/>
      <c r="U328" s="5"/>
    </row>
    <row r="329" spans="1:26" ht="40.200000000000003" customHeight="1" x14ac:dyDescent="0.25">
      <c r="Y329" s="5"/>
      <c r="Z329" s="5"/>
    </row>
    <row r="332" spans="1:26" ht="37.950000000000003" customHeight="1" x14ac:dyDescent="0.25"/>
    <row r="340" spans="1:26" s="5" customFormat="1" x14ac:dyDescent="0.25">
      <c r="A340" s="314"/>
      <c r="B340"/>
      <c r="C340"/>
      <c r="D340"/>
      <c r="E340"/>
      <c r="F340"/>
      <c r="G340"/>
      <c r="H340"/>
      <c r="I340"/>
      <c r="J340"/>
      <c r="K340"/>
      <c r="L340"/>
      <c r="M340"/>
      <c r="N340"/>
      <c r="O340"/>
      <c r="P340"/>
      <c r="Q340"/>
      <c r="R340"/>
      <c r="S340"/>
      <c r="T340"/>
      <c r="U340"/>
      <c r="Y340"/>
      <c r="Z340"/>
    </row>
    <row r="341" spans="1:26" x14ac:dyDescent="0.25">
      <c r="N341" s="5"/>
      <c r="O341" s="5"/>
      <c r="P341" s="5"/>
      <c r="Q341" s="5"/>
      <c r="R341" s="5"/>
      <c r="S341" s="5"/>
      <c r="T341" s="5"/>
      <c r="U341" s="5"/>
    </row>
    <row r="342" spans="1:26" x14ac:dyDescent="0.25">
      <c r="Y342" s="5"/>
      <c r="Z342" s="5"/>
    </row>
  </sheetData>
  <mergeCells count="83">
    <mergeCell ref="H182:I182"/>
    <mergeCell ref="H216:I216"/>
    <mergeCell ref="J216:K216"/>
    <mergeCell ref="F229:G229"/>
    <mergeCell ref="H229:I229"/>
    <mergeCell ref="J229:K229"/>
    <mergeCell ref="H192:I192"/>
    <mergeCell ref="J192:K192"/>
    <mergeCell ref="F208:G208"/>
    <mergeCell ref="H208:I208"/>
    <mergeCell ref="J208:K208"/>
    <mergeCell ref="J182:K182"/>
    <mergeCell ref="B23:D23"/>
    <mergeCell ref="B34:D34"/>
    <mergeCell ref="B93:D93"/>
    <mergeCell ref="B90:D90"/>
    <mergeCell ref="F216:G216"/>
    <mergeCell ref="B180:E180"/>
    <mergeCell ref="F182:G182"/>
    <mergeCell ref="F192:G192"/>
    <mergeCell ref="C68:D68"/>
    <mergeCell ref="B72:D72"/>
    <mergeCell ref="C75:D75"/>
    <mergeCell ref="B79:C79"/>
    <mergeCell ref="C82:D82"/>
    <mergeCell ref="B159:M160"/>
    <mergeCell ref="C61:D61"/>
    <mergeCell ref="B97:D97"/>
    <mergeCell ref="F297:G297"/>
    <mergeCell ref="H297:I297"/>
    <mergeCell ref="J297:K297"/>
    <mergeCell ref="B319:M319"/>
    <mergeCell ref="E321:G321"/>
    <mergeCell ref="H321:I321"/>
    <mergeCell ref="J321:K321"/>
    <mergeCell ref="L321:M321"/>
    <mergeCell ref="F237:G237"/>
    <mergeCell ref="H237:I237"/>
    <mergeCell ref="J237:K237"/>
    <mergeCell ref="E261:G261"/>
    <mergeCell ref="H261:I261"/>
    <mergeCell ref="J261:K261"/>
    <mergeCell ref="B259:M260"/>
    <mergeCell ref="L261:M261"/>
    <mergeCell ref="B279:E279"/>
    <mergeCell ref="J279:L279"/>
    <mergeCell ref="B281:M281"/>
    <mergeCell ref="F283:G283"/>
    <mergeCell ref="H283:I283"/>
    <mergeCell ref="J283:K283"/>
    <mergeCell ref="T9:U9"/>
    <mergeCell ref="O18:Q18"/>
    <mergeCell ref="H114:I114"/>
    <mergeCell ref="B2:C2"/>
    <mergeCell ref="B4:L4"/>
    <mergeCell ref="B11:D11"/>
    <mergeCell ref="B14:D14"/>
    <mergeCell ref="F103:G103"/>
    <mergeCell ref="H103:I103"/>
    <mergeCell ref="J103:K103"/>
    <mergeCell ref="B53:E53"/>
    <mergeCell ref="B54:E54"/>
    <mergeCell ref="B55:D55"/>
    <mergeCell ref="B58:C58"/>
    <mergeCell ref="B87:D87"/>
    <mergeCell ref="Q9:S9"/>
    <mergeCell ref="B65:D65"/>
    <mergeCell ref="B84:D84"/>
    <mergeCell ref="B99:D99"/>
    <mergeCell ref="B101:E101"/>
    <mergeCell ref="J101:L101"/>
    <mergeCell ref="E161:G161"/>
    <mergeCell ref="H161:I161"/>
    <mergeCell ref="J161:K161"/>
    <mergeCell ref="L161:M161"/>
    <mergeCell ref="F114:G114"/>
    <mergeCell ref="J114:K114"/>
    <mergeCell ref="F123:G123"/>
    <mergeCell ref="H123:I123"/>
    <mergeCell ref="J123:K123"/>
    <mergeCell ref="F137:G137"/>
    <mergeCell ref="H137:I137"/>
    <mergeCell ref="J137:K137"/>
  </mergeCells>
  <phoneticPr fontId="2" type="noConversion"/>
  <hyperlinks>
    <hyperlink ref="B2" location="Tilakokonaisuus!A1" display="PALAA ETUSIVULLE" xr:uid="{F28C5CC8-ED96-2E4C-BB4E-D475C19A5FF3}"/>
    <hyperlink ref="B2:C2" location="'Gårdens info'!A1" display="TILL FRAMSIDAN" xr:uid="{91DCED99-B6C2-524E-B03F-13B9B0E8E32D}"/>
    <hyperlink ref="B14" location="'Avomaan mansikka'!B41" display="PERUSTAMISVUODEN KUSTANNUKSET" xr:uid="{3DEAD5C8-1A05-D645-A1CA-DA1F869F89F1}"/>
    <hyperlink ref="B23" location="'Hallon friland'!B90" display="SKÖRDEÅRENS KOSTNADER" xr:uid="{C6ADE030-AF9E-324B-B5AE-0C2018661A6E}"/>
    <hyperlink ref="B34" location="'Avomaan vadelma'!B260" display="RAIVAUSVUODEN KUSTANNUKSET" xr:uid="{8EE98B77-8440-4848-BBDD-70643D5E0F1F}"/>
    <hyperlink ref="B14:D14" location="'Hallon friland'!B124" display="ETABLERINGSÅRETS KOSTNADER" xr:uid="{4E274FBD-569B-7D4E-992D-9F05D5FDBA44}"/>
    <hyperlink ref="B87" location="'Avomaan mansikka'!B41" display="PERUSTAMISVUODEN KUSTANNUKSET" xr:uid="{863BE9BD-FD06-5D49-8BF6-BA91021E8A93}"/>
    <hyperlink ref="B87:D87" location="'Hallon friland'!A124" display="ETABLERINGSÅRETS KOSTNADER" xr:uid="{7FEABCA6-AA97-C745-9959-EE0233D5C618}"/>
    <hyperlink ref="B53:E53" location="'Gårdens info'!A147" display="ALLMÄNNA KOSTNADER, hallonens andel" xr:uid="{CB3F56AA-D467-594C-A58D-75B383B9A4E2}"/>
    <hyperlink ref="B58:C58" location="Omaisuus!B15" display="RAKENNUKSET" xr:uid="{50C5D9F7-AA85-E24C-8207-BC385625386B}"/>
    <hyperlink ref="B65:D65" location="Omaisuus!B28" display="KONEET JA KALUSTO" xr:uid="{5FC6060C-F029-2243-943E-87D3298A7DEB}"/>
    <hyperlink ref="B72:D72" location="Omaisuus!B51" display="PIDEMPIAIKAISET TUOTANTOVÄLINEET" xr:uid="{9E8AF496-F418-5B48-AFF8-60ACE2FA5B08}"/>
    <hyperlink ref="B79:C79" location="Omaisuus!B70" display="SALAOJAT" xr:uid="{FE1DEF90-5EEF-904E-AB14-B40262F792EA}"/>
    <hyperlink ref="B90" location="'Hallon friland'!A204" display="SKÖRDEÅRENS KOSTNADER" xr:uid="{7E97B2BE-EB80-7B44-8C40-E1EA38D148DD}"/>
    <hyperlink ref="B93" location="'Hallon friland'!A303" display="RÖJNINGSÅRETS KOSTNADER" xr:uid="{6B4FA12C-E580-134E-B53C-F7E7068A8A98}"/>
    <hyperlink ref="J180" location="'Hallon friland'!A1" display="TILL SIDANS BÖRJAN" xr:uid="{50191CA9-7DDE-EB48-9B36-3D7811F9F00A}"/>
    <hyperlink ref="J279:L279" location="'Hallon friland'!A1" display="TILL SIDANS BÖRJAN" xr:uid="{181F4CF2-4339-FF44-9649-2A867F7961AB}"/>
    <hyperlink ref="J101:L101" location="'Hallon friland'!A1" display="TILL BÖRJAN AV SIDAN" xr:uid="{D4F0295D-559A-7344-ACD4-7323A5304977}"/>
    <hyperlink ref="B23:D23" location="'Hallon friland'!B205" display="SKÖRDEÅRENS KOSTNADER" xr:uid="{367660FB-2623-44FE-A9AF-980C741B6F3F}"/>
    <hyperlink ref="B34:D34" location="'Hallon friland'!B305" display="RÖJNINGSÅRETS KOSTNADER" xr:uid="{B5FEBD1A-7253-4A61-B4D6-A09D97ED961A}"/>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572F-00CE-5846-804A-75378D9AF2FA}">
  <sheetPr>
    <tabColor theme="9" tint="-0.249977111117893"/>
  </sheetPr>
  <dimension ref="A1:Z259"/>
  <sheetViews>
    <sheetView topLeftCell="A79" zoomScale="72" zoomScaleNormal="85" workbookViewId="0">
      <selection activeCell="B147" sqref="B147"/>
    </sheetView>
  </sheetViews>
  <sheetFormatPr defaultColWidth="11.44140625" defaultRowHeight="13.2" x14ac:dyDescent="0.25"/>
  <cols>
    <col min="1" max="1" width="5.33203125" style="321" customWidth="1"/>
    <col min="3" max="3" width="16.6640625" customWidth="1"/>
    <col min="4" max="4" width="22.6640625" customWidth="1"/>
    <col min="5" max="5" width="12.109375" bestFit="1" customWidth="1"/>
    <col min="6" max="6" width="14" bestFit="1" customWidth="1"/>
    <col min="7" max="7" width="6.33203125" customWidth="1"/>
    <col min="9" max="9" width="6" customWidth="1"/>
    <col min="10" max="10" width="15.109375" customWidth="1"/>
    <col min="11" max="11" width="9.6640625" customWidth="1"/>
    <col min="12" max="12" width="20" customWidth="1"/>
    <col min="13" max="13" width="12.109375" customWidth="1"/>
    <col min="27" max="27" width="19" customWidth="1"/>
  </cols>
  <sheetData>
    <row r="1" spans="1:21" s="321" customFormat="1" ht="22.8" x14ac:dyDescent="0.4">
      <c r="B1" s="328" t="s">
        <v>42</v>
      </c>
    </row>
    <row r="2" spans="1:21" ht="27" customHeight="1" x14ac:dyDescent="0.3">
      <c r="B2" s="1094" t="s">
        <v>201</v>
      </c>
      <c r="C2" s="1094"/>
    </row>
    <row r="3" spans="1:21" ht="27" customHeight="1" x14ac:dyDescent="0.3">
      <c r="B3" s="189"/>
      <c r="C3" s="189"/>
    </row>
    <row r="4" spans="1:21" ht="139.94999999999999" customHeight="1" x14ac:dyDescent="0.3">
      <c r="B4" s="1098" t="s">
        <v>701</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702</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16.2" thickBot="1" x14ac:dyDescent="0.35">
      <c r="B9" s="227"/>
      <c r="C9" s="228" t="s">
        <v>205</v>
      </c>
      <c r="D9" s="119"/>
      <c r="E9" s="119"/>
      <c r="F9" s="229">
        <f>IF('Gårdens info'!D31&gt;0,H9*'Gårdens info'!G30,0)</f>
        <v>0</v>
      </c>
      <c r="G9" s="119" t="s">
        <v>57</v>
      </c>
      <c r="H9" s="508">
        <f>IF('Gårdens info'!G31&gt;0,(('Gårdens info'!G31*S10*T10)+('Gårdens info'!G31*S11*T11)+('Gårdens info'!G31*S12*T12)+('Gårdens info'!G31*S13*T13)+('Gårdens info'!G31*S14*T14)+('Gårdens info'!G31*S15*T15)+('Gårdens info'!G31*S16*T16)+('Gårdens info'!G31*S17*T17))/(('Gårdens info'!G31)),0)</f>
        <v>9.74</v>
      </c>
      <c r="I9" s="119" t="s">
        <v>206</v>
      </c>
      <c r="J9" s="229">
        <f>F9*'Gårdens info'!D31</f>
        <v>0</v>
      </c>
      <c r="K9" s="119" t="s">
        <v>665</v>
      </c>
      <c r="L9" s="119"/>
      <c r="M9" s="226"/>
      <c r="N9" s="369"/>
      <c r="O9" s="230" t="s">
        <v>208</v>
      </c>
      <c r="P9" s="230"/>
      <c r="Q9" s="1145" t="s">
        <v>209</v>
      </c>
      <c r="R9" s="1145"/>
      <c r="S9" s="1145"/>
      <c r="T9" s="1086" t="s">
        <v>210</v>
      </c>
      <c r="U9" s="1087"/>
    </row>
    <row r="10" spans="1:21" ht="15.6" thickBot="1" x14ac:dyDescent="0.3">
      <c r="B10" s="227"/>
      <c r="C10" s="119" t="s">
        <v>211</v>
      </c>
      <c r="D10" s="119"/>
      <c r="E10" s="119"/>
      <c r="F10" s="229"/>
      <c r="G10" s="119" t="s">
        <v>57</v>
      </c>
      <c r="H10" s="508">
        <f>IF('Gårdens info'!G30&gt;0,F10/'Gårdens info'!G30,0)</f>
        <v>0</v>
      </c>
      <c r="I10" s="119" t="s">
        <v>206</v>
      </c>
      <c r="J10" s="229">
        <f>F10*'Gårdens info'!D31</f>
        <v>0</v>
      </c>
      <c r="K10" s="119" t="s">
        <v>665</v>
      </c>
      <c r="L10" s="119"/>
      <c r="M10" s="226"/>
      <c r="N10" s="369"/>
      <c r="O10" s="119">
        <v>1</v>
      </c>
      <c r="P10" s="119" t="s">
        <v>212</v>
      </c>
      <c r="Q10" s="119" t="s">
        <v>556</v>
      </c>
      <c r="R10" s="119"/>
      <c r="S10" s="377">
        <v>0.2</v>
      </c>
      <c r="T10" s="255">
        <v>10.199999999999999</v>
      </c>
      <c r="U10" s="239" t="s">
        <v>206</v>
      </c>
    </row>
    <row r="11" spans="1:21" s="5" customFormat="1" ht="21.6" customHeight="1" thickBot="1" x14ac:dyDescent="0.45">
      <c r="A11" s="322"/>
      <c r="B11" s="1061" t="s">
        <v>214</v>
      </c>
      <c r="C11" s="1043"/>
      <c r="D11" s="1043"/>
      <c r="E11" s="262"/>
      <c r="F11" s="266">
        <f>F9+F10</f>
        <v>0</v>
      </c>
      <c r="G11" s="267" t="s">
        <v>57</v>
      </c>
      <c r="H11" s="507">
        <f>H9+H10</f>
        <v>9.74</v>
      </c>
      <c r="I11" s="267" t="s">
        <v>206</v>
      </c>
      <c r="J11" s="269">
        <f>J9+J10</f>
        <v>0</v>
      </c>
      <c r="K11" s="267" t="s">
        <v>665</v>
      </c>
      <c r="L11" s="267"/>
      <c r="M11" s="259"/>
      <c r="N11" s="370"/>
      <c r="O11" s="119">
        <v>3</v>
      </c>
      <c r="P11" s="119" t="s">
        <v>212</v>
      </c>
      <c r="Q11" s="119" t="s">
        <v>558</v>
      </c>
      <c r="R11" s="119"/>
      <c r="S11" s="379">
        <v>0</v>
      </c>
      <c r="T11" s="255"/>
      <c r="U11" s="239" t="s">
        <v>206</v>
      </c>
    </row>
    <row r="12" spans="1:21" ht="21" customHeight="1" thickBot="1" x14ac:dyDescent="0.35">
      <c r="B12" s="231"/>
      <c r="C12" s="225"/>
      <c r="D12" s="116"/>
      <c r="E12" s="116"/>
      <c r="F12" s="116"/>
      <c r="G12" s="116"/>
      <c r="H12" s="116"/>
      <c r="I12" s="116"/>
      <c r="J12" s="232"/>
      <c r="K12" s="116"/>
      <c r="L12" s="116"/>
      <c r="M12" s="226"/>
      <c r="N12" s="370"/>
      <c r="O12" s="119">
        <v>5</v>
      </c>
      <c r="P12" s="119" t="s">
        <v>212</v>
      </c>
      <c r="Q12" s="119" t="s">
        <v>558</v>
      </c>
      <c r="R12" s="119"/>
      <c r="S12" s="379">
        <v>0.7</v>
      </c>
      <c r="T12" s="255">
        <v>11</v>
      </c>
      <c r="U12" s="239" t="s">
        <v>206</v>
      </c>
    </row>
    <row r="13" spans="1:21" ht="21.6" thickBot="1" x14ac:dyDescent="0.45">
      <c r="B13" s="257" t="s">
        <v>186</v>
      </c>
      <c r="C13" s="225"/>
      <c r="D13" s="116"/>
      <c r="E13" s="116"/>
      <c r="F13" s="116"/>
      <c r="G13" s="116"/>
      <c r="H13" s="116"/>
      <c r="I13" s="116"/>
      <c r="J13" s="232"/>
      <c r="K13" s="116"/>
      <c r="L13" s="116"/>
      <c r="M13" s="226"/>
      <c r="N13" s="369"/>
      <c r="O13" s="119">
        <v>0.5</v>
      </c>
      <c r="P13" s="119" t="s">
        <v>212</v>
      </c>
      <c r="Q13" s="119" t="s">
        <v>561</v>
      </c>
      <c r="R13" s="119"/>
      <c r="S13" s="379">
        <v>0.1</v>
      </c>
      <c r="T13" s="255"/>
      <c r="U13" s="239" t="s">
        <v>206</v>
      </c>
    </row>
    <row r="14" spans="1:21" s="56" customFormat="1" ht="18" thickBot="1" x14ac:dyDescent="0.35">
      <c r="A14" s="323"/>
      <c r="B14" s="248" t="s">
        <v>564</v>
      </c>
      <c r="C14" s="245"/>
      <c r="D14" s="249"/>
      <c r="E14" s="249"/>
      <c r="F14" s="250"/>
      <c r="G14" s="120"/>
      <c r="H14" s="249"/>
      <c r="I14" s="249"/>
      <c r="J14" s="249"/>
      <c r="K14" s="249"/>
      <c r="L14" s="249"/>
      <c r="M14" s="234"/>
      <c r="N14" s="369"/>
      <c r="O14" s="119">
        <v>0.25</v>
      </c>
      <c r="P14" s="119" t="s">
        <v>212</v>
      </c>
      <c r="Q14" s="119" t="s">
        <v>561</v>
      </c>
      <c r="R14" s="119"/>
      <c r="S14" s="379">
        <v>0</v>
      </c>
      <c r="T14" s="255"/>
      <c r="U14" s="239" t="s">
        <v>206</v>
      </c>
    </row>
    <row r="15" spans="1:21" s="69" customFormat="1" ht="18" thickBot="1" x14ac:dyDescent="0.35">
      <c r="A15" s="324"/>
      <c r="B15" s="248"/>
      <c r="C15" s="228" t="s">
        <v>382</v>
      </c>
      <c r="D15" s="236"/>
      <c r="E15" s="236"/>
      <c r="F15" s="237">
        <f>IF('Gårdens info'!D31&gt;0,J76,0)</f>
        <v>0</v>
      </c>
      <c r="G15" s="119" t="s">
        <v>57</v>
      </c>
      <c r="H15" s="503">
        <f>IF('Gårdens info'!$G$31&gt;0,F15/'Gårdens info'!$G$31,0)</f>
        <v>0</v>
      </c>
      <c r="I15" s="119" t="s">
        <v>206</v>
      </c>
      <c r="J15" s="237">
        <f>F15*'Gårdens info'!$D$31</f>
        <v>0</v>
      </c>
      <c r="K15" s="119" t="s">
        <v>665</v>
      </c>
      <c r="L15" s="236"/>
      <c r="M15" s="234"/>
      <c r="N15" s="369"/>
      <c r="O15" s="651">
        <f>D125</f>
        <v>0</v>
      </c>
      <c r="P15" s="119" t="s">
        <v>212</v>
      </c>
      <c r="Q15" s="298" t="s">
        <v>511</v>
      </c>
      <c r="R15" s="119"/>
      <c r="S15" s="379">
        <v>0</v>
      </c>
      <c r="T15" s="255"/>
      <c r="U15" s="239" t="s">
        <v>206</v>
      </c>
    </row>
    <row r="16" spans="1:21" s="69" customFormat="1" ht="15.6" thickBot="1" x14ac:dyDescent="0.3">
      <c r="A16" s="324"/>
      <c r="B16" s="235"/>
      <c r="C16" s="228" t="s">
        <v>219</v>
      </c>
      <c r="D16" s="236"/>
      <c r="E16" s="236"/>
      <c r="F16" s="237">
        <f>IF('Gårdens info'!D31&gt;0,J90,0)</f>
        <v>0</v>
      </c>
      <c r="G16" s="119" t="s">
        <v>57</v>
      </c>
      <c r="H16" s="503">
        <f>IF('Gårdens info'!$G$31&gt;0,F16/'Gårdens info'!$G$31,0)</f>
        <v>0</v>
      </c>
      <c r="I16" s="119" t="s">
        <v>206</v>
      </c>
      <c r="J16" s="237">
        <f>F16*'Gårdens info'!$D$31</f>
        <v>0</v>
      </c>
      <c r="K16" s="119" t="s">
        <v>665</v>
      </c>
      <c r="L16" s="236"/>
      <c r="M16" s="239"/>
      <c r="N16" s="369"/>
      <c r="O16" s="651">
        <f t="shared" ref="O16:O17" si="0">D126</f>
        <v>0</v>
      </c>
      <c r="P16" s="119"/>
      <c r="Q16" s="298" t="s">
        <v>511</v>
      </c>
      <c r="R16" s="119"/>
      <c r="S16" s="378">
        <v>0</v>
      </c>
      <c r="T16" s="255"/>
      <c r="U16" s="239" t="s">
        <v>206</v>
      </c>
    </row>
    <row r="17" spans="1:26" s="69" customFormat="1" ht="15.6" thickBot="1" x14ac:dyDescent="0.3">
      <c r="A17" s="324"/>
      <c r="B17" s="235"/>
      <c r="C17" s="228" t="s">
        <v>220</v>
      </c>
      <c r="D17" s="236"/>
      <c r="E17" s="236"/>
      <c r="F17" s="237">
        <f>IF('Gårdens info'!D31&gt;0,J107,0)</f>
        <v>0</v>
      </c>
      <c r="G17" s="119" t="s">
        <v>57</v>
      </c>
      <c r="H17" s="503">
        <f>IF('Gårdens info'!$G$31&gt;0,F17/'Gårdens info'!$G$31,0)</f>
        <v>0</v>
      </c>
      <c r="I17" s="119" t="s">
        <v>206</v>
      </c>
      <c r="J17" s="237">
        <f>F17*'Gårdens info'!$D$31</f>
        <v>0</v>
      </c>
      <c r="K17" s="119" t="s">
        <v>665</v>
      </c>
      <c r="L17" s="236"/>
      <c r="M17" s="239"/>
      <c r="N17" s="369"/>
      <c r="O17" s="651">
        <f t="shared" si="0"/>
        <v>0</v>
      </c>
      <c r="P17" s="119" t="s">
        <v>212</v>
      </c>
      <c r="Q17" s="298" t="s">
        <v>511</v>
      </c>
      <c r="R17" s="119"/>
      <c r="S17" s="378">
        <v>0</v>
      </c>
      <c r="T17" s="255"/>
      <c r="U17" s="239" t="s">
        <v>206</v>
      </c>
    </row>
    <row r="18" spans="1:26" s="69" customFormat="1" ht="17.399999999999999" x14ac:dyDescent="0.3">
      <c r="A18" s="324"/>
      <c r="B18" s="235"/>
      <c r="C18" s="228" t="s">
        <v>574</v>
      </c>
      <c r="D18" s="236"/>
      <c r="E18" s="236"/>
      <c r="F18" s="237">
        <f>IF('Gårdens info'!D31&gt;0,J115,0)</f>
        <v>0</v>
      </c>
      <c r="G18" s="119" t="s">
        <v>57</v>
      </c>
      <c r="H18" s="503">
        <f>IF('Gårdens info'!$G$31&gt;0,F18/'Gårdens info'!$G$31,0)</f>
        <v>0</v>
      </c>
      <c r="I18" s="119" t="s">
        <v>206</v>
      </c>
      <c r="J18" s="237">
        <f>F18*'Gårdens info'!$D$31</f>
        <v>0</v>
      </c>
      <c r="K18" s="119" t="s">
        <v>665</v>
      </c>
      <c r="L18" s="236"/>
      <c r="M18" s="239"/>
      <c r="N18" s="371"/>
      <c r="O18" s="1088" t="s">
        <v>54</v>
      </c>
      <c r="P18" s="1088"/>
      <c r="Q18" s="1088"/>
      <c r="R18" s="120"/>
      <c r="S18" s="375">
        <f>SUM(S10:S17)</f>
        <v>0.99999999999999989</v>
      </c>
      <c r="T18" s="120"/>
      <c r="U18" s="234"/>
    </row>
    <row r="19" spans="1:26" s="69" customFormat="1" ht="15.6" x14ac:dyDescent="0.3">
      <c r="A19" s="324"/>
      <c r="B19" s="235"/>
      <c r="C19" s="228" t="s">
        <v>575</v>
      </c>
      <c r="D19" s="236"/>
      <c r="E19" s="236"/>
      <c r="F19" s="237">
        <f>IF('Gårdens info'!D31&gt;0,J128,0)</f>
        <v>0</v>
      </c>
      <c r="G19" s="119" t="s">
        <v>57</v>
      </c>
      <c r="H19" s="503">
        <f>IF('Gårdens info'!$G$31&gt;0,F19/'Gårdens info'!$G$31,0)</f>
        <v>0</v>
      </c>
      <c r="I19" s="119" t="s">
        <v>206</v>
      </c>
      <c r="J19" s="237">
        <f>F19*'Gårdens info'!$D$31</f>
        <v>0</v>
      </c>
      <c r="K19" s="119" t="s">
        <v>665</v>
      </c>
      <c r="L19" s="236"/>
      <c r="M19" s="239"/>
      <c r="N19" s="227"/>
      <c r="O19" s="376" t="str">
        <f>IF(S18=100%," ","HUOM! Osuus myyynneistä pitää summautua 100 prosenttiin")</f>
        <v xml:space="preserve"> </v>
      </c>
      <c r="P19" s="119"/>
      <c r="R19" s="119"/>
      <c r="S19" s="119"/>
      <c r="T19" s="119"/>
      <c r="U19" s="239"/>
    </row>
    <row r="20" spans="1:26" s="69" customFormat="1" ht="15.6" thickBot="1" x14ac:dyDescent="0.3">
      <c r="A20" s="324"/>
      <c r="B20" s="235"/>
      <c r="C20" s="228" t="s">
        <v>576</v>
      </c>
      <c r="D20" s="236"/>
      <c r="E20" s="236"/>
      <c r="F20" s="237">
        <f>IF('Gårdens info'!D31&gt;0,J136,0)</f>
        <v>0</v>
      </c>
      <c r="G20" s="119" t="s">
        <v>57</v>
      </c>
      <c r="H20" s="503">
        <f>IF('Gårdens info'!$G$31&gt;0,F20/'Gårdens info'!$G$31,0)</f>
        <v>0</v>
      </c>
      <c r="I20" s="119" t="s">
        <v>206</v>
      </c>
      <c r="J20" s="237">
        <f>F20*'Gårdens info'!$D$31</f>
        <v>0</v>
      </c>
      <c r="K20" s="119" t="s">
        <v>665</v>
      </c>
      <c r="L20" s="236"/>
      <c r="M20" s="239"/>
      <c r="N20" s="372"/>
      <c r="O20" s="373"/>
      <c r="P20" s="373"/>
      <c r="Q20" s="373"/>
      <c r="R20" s="373"/>
      <c r="S20" s="373"/>
      <c r="T20" s="373"/>
      <c r="U20" s="374"/>
    </row>
    <row r="21" spans="1:26" s="69" customFormat="1" ht="15" x14ac:dyDescent="0.25">
      <c r="A21" s="324"/>
      <c r="B21" s="235"/>
      <c r="C21" s="228" t="s">
        <v>568</v>
      </c>
      <c r="D21" s="236"/>
      <c r="E21" s="236"/>
      <c r="F21" s="237">
        <f>IF('Gårdens info'!D31&gt;0,J144,0)</f>
        <v>0</v>
      </c>
      <c r="G21" s="119" t="s">
        <v>57</v>
      </c>
      <c r="H21" s="503">
        <f>IF('Gårdens info'!$G$31&gt;0,F21/'Gårdens info'!$G$31,0)</f>
        <v>0</v>
      </c>
      <c r="I21" s="119" t="s">
        <v>206</v>
      </c>
      <c r="J21" s="237">
        <f>F21*'Gårdens info'!$D$31</f>
        <v>0</v>
      </c>
      <c r="K21" s="119" t="s">
        <v>665</v>
      </c>
      <c r="L21" s="236"/>
      <c r="M21" s="239"/>
    </row>
    <row r="22" spans="1:26" ht="15" x14ac:dyDescent="0.25">
      <c r="B22" s="235"/>
      <c r="C22" s="228" t="s">
        <v>224</v>
      </c>
      <c r="D22" s="236"/>
      <c r="E22" s="236"/>
      <c r="F22" s="237">
        <f>IF('Gårdens info'!D31&gt;0,J156,0)</f>
        <v>0</v>
      </c>
      <c r="G22" s="119" t="s">
        <v>57</v>
      </c>
      <c r="H22" s="503">
        <f>IF('Gårdens info'!$G$31&gt;0,F22/'Gårdens info'!$G$31,0)</f>
        <v>0</v>
      </c>
      <c r="I22" s="119" t="s">
        <v>206</v>
      </c>
      <c r="J22" s="237">
        <f>F22*'Gårdens info'!$D$31</f>
        <v>0</v>
      </c>
      <c r="K22" s="119" t="s">
        <v>665</v>
      </c>
      <c r="L22" s="236"/>
      <c r="M22" s="239"/>
      <c r="N22" s="69"/>
      <c r="O22" s="69"/>
      <c r="P22" s="69"/>
      <c r="Q22" s="69"/>
      <c r="R22" s="69"/>
      <c r="S22" s="69"/>
      <c r="T22" s="69"/>
      <c r="U22" s="69"/>
    </row>
    <row r="23" spans="1:26" s="56" customFormat="1" ht="17.399999999999999" x14ac:dyDescent="0.3">
      <c r="A23" s="323"/>
      <c r="B23" s="235"/>
      <c r="C23" s="228" t="s">
        <v>225</v>
      </c>
      <c r="D23" s="236"/>
      <c r="E23" s="236"/>
      <c r="F23" s="237">
        <f>IF('Gårdens info'!D31&gt;0,L182,0)</f>
        <v>0</v>
      </c>
      <c r="G23" s="119" t="s">
        <v>57</v>
      </c>
      <c r="H23" s="503">
        <f>IF('Gårdens info'!$G$31&gt;0,F23/'Gårdens info'!$G$31,0)</f>
        <v>0</v>
      </c>
      <c r="I23" s="119" t="s">
        <v>206</v>
      </c>
      <c r="J23" s="237">
        <f>F23*'Gårdens info'!$D$31</f>
        <v>0</v>
      </c>
      <c r="K23" s="119" t="s">
        <v>665</v>
      </c>
      <c r="L23" s="236"/>
      <c r="M23" s="239"/>
      <c r="N23"/>
      <c r="O23"/>
      <c r="P23"/>
      <c r="Q23"/>
      <c r="R23"/>
      <c r="S23"/>
      <c r="T23"/>
      <c r="U23"/>
    </row>
    <row r="24" spans="1:26" s="69" customFormat="1" ht="17.399999999999999" x14ac:dyDescent="0.3">
      <c r="A24" s="324"/>
      <c r="B24" s="251"/>
      <c r="C24" s="240" t="s">
        <v>54</v>
      </c>
      <c r="D24" s="241"/>
      <c r="E24" s="241"/>
      <c r="F24" s="242">
        <f>SUM(F15:F23)</f>
        <v>0</v>
      </c>
      <c r="G24" s="243" t="s">
        <v>57</v>
      </c>
      <c r="H24" s="504">
        <f>SUM(H15:H23)</f>
        <v>0</v>
      </c>
      <c r="I24" s="243" t="s">
        <v>206</v>
      </c>
      <c r="J24" s="242">
        <f>SUM(J15:J23)</f>
        <v>0</v>
      </c>
      <c r="K24" s="243" t="s">
        <v>665</v>
      </c>
      <c r="L24" s="241"/>
      <c r="M24" s="252"/>
      <c r="N24" s="56"/>
      <c r="O24" s="56"/>
      <c r="P24" s="56"/>
      <c r="Q24" s="56"/>
      <c r="R24" s="56"/>
      <c r="S24" s="56"/>
      <c r="T24" s="56"/>
      <c r="U24" s="56"/>
    </row>
    <row r="25" spans="1:26" s="69" customFormat="1" ht="17.399999999999999" x14ac:dyDescent="0.3">
      <c r="A25" s="324"/>
      <c r="B25" s="231"/>
      <c r="C25" s="245"/>
      <c r="D25" s="246"/>
      <c r="E25" s="246"/>
      <c r="F25" s="247"/>
      <c r="G25" s="119"/>
      <c r="H25" s="246"/>
      <c r="I25" s="246"/>
      <c r="J25" s="246"/>
      <c r="K25" s="246"/>
      <c r="L25" s="246"/>
      <c r="M25" s="226"/>
    </row>
    <row r="26" spans="1:26" s="69" customFormat="1" ht="17.399999999999999" x14ac:dyDescent="0.3">
      <c r="A26" s="324"/>
      <c r="B26" s="1081" t="s">
        <v>703</v>
      </c>
      <c r="C26" s="1082"/>
      <c r="D26" s="1082"/>
      <c r="E26" s="1082"/>
      <c r="F26" s="263">
        <f>IF('Gårdens info'!D31&gt;0,J26/'Gårdens info'!D31,0)</f>
        <v>0</v>
      </c>
      <c r="G26" s="243" t="s">
        <v>57</v>
      </c>
      <c r="H26" s="506">
        <f>IF('Gårdens info'!G31&gt;0,F26/'Gårdens info'!G31,0)</f>
        <v>0</v>
      </c>
      <c r="I26" s="243" t="s">
        <v>206</v>
      </c>
      <c r="J26" s="258">
        <f>'Gårdens info'!G163/'Gårdens info'!D43*'Gårdens info'!D31</f>
        <v>0</v>
      </c>
      <c r="K26" s="243" t="s">
        <v>665</v>
      </c>
      <c r="L26" s="265"/>
      <c r="M26" s="259"/>
    </row>
    <row r="27" spans="1:26" s="69" customFormat="1" ht="17.399999999999999" customHeight="1" x14ac:dyDescent="0.3">
      <c r="A27" s="324"/>
      <c r="B27" s="1091" t="s">
        <v>668</v>
      </c>
      <c r="C27" s="1092"/>
      <c r="D27" s="1092"/>
      <c r="E27" s="1092"/>
      <c r="F27" s="263">
        <f>IF('Gårdens info'!D31&gt;0,J27/'Gårdens info'!D31,0)</f>
        <v>0</v>
      </c>
      <c r="G27" s="243" t="s">
        <v>57</v>
      </c>
      <c r="H27" s="506">
        <f>IF('Gårdens info'!G31&gt;0,F27/'Gårdens info'!G31,0)</f>
        <v>0</v>
      </c>
      <c r="I27" s="243" t="s">
        <v>206</v>
      </c>
      <c r="J27" s="258">
        <f>'Gårdens info'!$D$48/'Gårdens info'!$D$49*'Gårdens info'!$G$48*'Gårdens info'!D31</f>
        <v>0</v>
      </c>
      <c r="K27" s="243" t="s">
        <v>665</v>
      </c>
      <c r="L27" s="265"/>
      <c r="M27" s="259"/>
      <c r="Y27" s="691" t="str">
        <f>C15</f>
        <v>Plantor</v>
      </c>
      <c r="Z27" s="736">
        <f>F15</f>
        <v>0</v>
      </c>
    </row>
    <row r="28" spans="1:26" s="69" customFormat="1" ht="21" customHeight="1" x14ac:dyDescent="0.4">
      <c r="A28" s="324"/>
      <c r="B28" s="1061" t="s">
        <v>189</v>
      </c>
      <c r="C28" s="1043"/>
      <c r="D28" s="1043"/>
      <c r="E28" s="262"/>
      <c r="F28" s="266">
        <f>F24+F26+F27</f>
        <v>0</v>
      </c>
      <c r="G28" s="267" t="s">
        <v>57</v>
      </c>
      <c r="H28" s="573">
        <f>H24+H26+H27</f>
        <v>0</v>
      </c>
      <c r="I28" s="267" t="s">
        <v>206</v>
      </c>
      <c r="J28" s="266">
        <f>J24+J26+J27</f>
        <v>0</v>
      </c>
      <c r="K28" s="267" t="s">
        <v>665</v>
      </c>
      <c r="L28" s="267"/>
      <c r="M28" s="259"/>
      <c r="Y28" s="446" t="str">
        <f>C16</f>
        <v>Gödsel och kalk</v>
      </c>
      <c r="Z28" s="447">
        <f t="shared" ref="Z28:Z35" si="1">F16</f>
        <v>0</v>
      </c>
    </row>
    <row r="29" spans="1:26" s="69" customFormat="1" ht="21" x14ac:dyDescent="0.4">
      <c r="A29" s="324"/>
      <c r="B29" s="288"/>
      <c r="C29" s="270"/>
      <c r="D29" s="270"/>
      <c r="E29" s="262"/>
      <c r="F29" s="266"/>
      <c r="G29" s="267"/>
      <c r="H29" s="268"/>
      <c r="I29" s="267"/>
      <c r="J29" s="269"/>
      <c r="K29" s="267"/>
      <c r="L29" s="267"/>
      <c r="M29" s="259"/>
      <c r="Y29" s="446" t="str">
        <f t="shared" ref="Y29:Y35" si="2">C17</f>
        <v>IPM Växtskydd</v>
      </c>
      <c r="Z29" s="451">
        <f t="shared" si="1"/>
        <v>0</v>
      </c>
    </row>
    <row r="30" spans="1:26" s="69" customFormat="1" ht="21" x14ac:dyDescent="0.4">
      <c r="A30" s="324"/>
      <c r="B30" s="257" t="s">
        <v>669</v>
      </c>
      <c r="C30" s="225"/>
      <c r="D30" s="116"/>
      <c r="E30" s="116"/>
      <c r="F30" s="116"/>
      <c r="G30" s="116"/>
      <c r="H30" s="116"/>
      <c r="I30" s="116"/>
      <c r="J30" s="232"/>
      <c r="K30" s="116"/>
      <c r="L30" s="116"/>
      <c r="M30" s="226"/>
      <c r="Y30" s="446" t="str">
        <f t="shared" si="2"/>
        <v>Pollinering</v>
      </c>
      <c r="Z30" s="451">
        <f t="shared" si="1"/>
        <v>0</v>
      </c>
    </row>
    <row r="31" spans="1:26" s="69" customFormat="1" ht="21" x14ac:dyDescent="0.4">
      <c r="A31" s="324"/>
      <c r="B31" s="1081" t="s">
        <v>69</v>
      </c>
      <c r="C31" s="1082"/>
      <c r="D31" s="270"/>
      <c r="E31" s="262"/>
      <c r="F31" s="266"/>
      <c r="G31" s="267"/>
      <c r="H31" s="268"/>
      <c r="I31" s="267"/>
      <c r="J31" s="269"/>
      <c r="K31" s="267"/>
      <c r="L31" s="267"/>
      <c r="M31" s="259"/>
      <c r="Y31" s="446" t="str">
        <f t="shared" si="2"/>
        <v>Förpackningsmaterial</v>
      </c>
      <c r="Z31" s="447">
        <f t="shared" si="1"/>
        <v>0</v>
      </c>
    </row>
    <row r="32" spans="1:26" ht="21" x14ac:dyDescent="0.4">
      <c r="B32" s="287"/>
      <c r="C32" s="941" t="s">
        <v>229</v>
      </c>
      <c r="D32" s="942"/>
      <c r="E32" s="262"/>
      <c r="F32" s="276">
        <f>IF('Gårdens info'!$D$31&gt;0,J32/'Gårdens info'!$D$31,0)</f>
        <v>0</v>
      </c>
      <c r="G32" s="119" t="s">
        <v>57</v>
      </c>
      <c r="H32" s="502">
        <f>IF('Gårdens info'!$G$31&gt;0,F32/'Gårdens info'!$G$31,0)</f>
        <v>0</v>
      </c>
      <c r="I32" s="119" t="s">
        <v>206</v>
      </c>
      <c r="J32" s="237">
        <f>Egendom!AY25</f>
        <v>0</v>
      </c>
      <c r="K32" s="119" t="s">
        <v>665</v>
      </c>
      <c r="L32" s="267"/>
      <c r="M32" s="259"/>
      <c r="N32" s="69"/>
      <c r="O32" s="69"/>
      <c r="P32" s="69"/>
      <c r="Q32" s="69"/>
      <c r="R32" s="69"/>
      <c r="S32" s="69"/>
      <c r="T32" s="69"/>
      <c r="U32" s="69"/>
      <c r="Y32" s="446" t="str">
        <f t="shared" si="2"/>
        <v>Frakt av produkter</v>
      </c>
      <c r="Z32" s="447">
        <f t="shared" si="1"/>
        <v>0</v>
      </c>
    </row>
    <row r="33" spans="1:26" s="56" customFormat="1" ht="21" x14ac:dyDescent="0.4">
      <c r="A33" s="323"/>
      <c r="B33" s="287"/>
      <c r="C33" s="941" t="s">
        <v>230</v>
      </c>
      <c r="D33" s="942"/>
      <c r="E33" s="262"/>
      <c r="F33" s="276">
        <f>IF('Gårdens info'!$D$31&gt;0,J33/'Gårdens info'!$D$31,0)</f>
        <v>0</v>
      </c>
      <c r="G33" s="119" t="s">
        <v>57</v>
      </c>
      <c r="H33" s="502">
        <f>IF('Gårdens info'!$G$31&gt;0,F33/'Gårdens info'!$G$31,0)</f>
        <v>0</v>
      </c>
      <c r="I33" s="119" t="s">
        <v>206</v>
      </c>
      <c r="J33" s="237">
        <f>Egendom!BW25</f>
        <v>0</v>
      </c>
      <c r="K33" s="119" t="s">
        <v>665</v>
      </c>
      <c r="L33" s="267"/>
      <c r="M33" s="259"/>
      <c r="N33"/>
      <c r="O33"/>
      <c r="P33"/>
      <c r="Q33"/>
      <c r="R33"/>
      <c r="S33"/>
      <c r="T33"/>
      <c r="U33"/>
      <c r="Y33" s="446" t="str">
        <f t="shared" si="2"/>
        <v>Maskinhyra och entreprenad</v>
      </c>
      <c r="Z33" s="448">
        <f t="shared" si="1"/>
        <v>0</v>
      </c>
    </row>
    <row r="34" spans="1:26" s="69" customFormat="1" ht="17.399999999999999" customHeight="1" x14ac:dyDescent="0.3">
      <c r="A34" s="324"/>
      <c r="B34" s="287"/>
      <c r="C34" s="1108" t="s">
        <v>232</v>
      </c>
      <c r="D34" s="1108"/>
      <c r="E34" s="262"/>
      <c r="F34" s="276">
        <f>IF('Gårdens info'!$D$31&gt;0,J34/'Gårdens info'!$D$31,0)</f>
        <v>0</v>
      </c>
      <c r="G34" s="119" t="s">
        <v>57</v>
      </c>
      <c r="H34" s="502">
        <f>IF('Gårdens info'!$G$31&gt;0,F34/'Gårdens info'!$G$31,0)</f>
        <v>0</v>
      </c>
      <c r="I34" s="119" t="s">
        <v>206</v>
      </c>
      <c r="J34" s="237">
        <f>Egendom!CU25</f>
        <v>0</v>
      </c>
      <c r="K34" s="119" t="s">
        <v>665</v>
      </c>
      <c r="L34" s="267"/>
      <c r="M34" s="259"/>
      <c r="N34" s="56"/>
      <c r="O34" s="56"/>
      <c r="P34" s="56"/>
      <c r="Q34" s="56"/>
      <c r="R34" s="56"/>
      <c r="S34" s="56"/>
      <c r="T34" s="56"/>
      <c r="U34" s="56"/>
      <c r="Y34" s="446" t="str">
        <f t="shared" si="2"/>
        <v>Energikostnader</v>
      </c>
      <c r="Z34" s="523">
        <f t="shared" si="1"/>
        <v>0</v>
      </c>
    </row>
    <row r="35" spans="1:26" s="69" customFormat="1" ht="21" x14ac:dyDescent="0.4">
      <c r="A35" s="324"/>
      <c r="B35" s="287"/>
      <c r="C35" s="941" t="s">
        <v>483</v>
      </c>
      <c r="D35" s="942"/>
      <c r="E35" s="262"/>
      <c r="F35" s="276">
        <f>IF('Gårdens info'!$D$31&gt;0,J35/'Gårdens info'!$D$31,0)</f>
        <v>0</v>
      </c>
      <c r="G35" s="119" t="s">
        <v>57</v>
      </c>
      <c r="H35" s="502">
        <f>IF('Gårdens info'!$G$31&gt;0,F35/'Gårdens info'!$G$31,0)</f>
        <v>0</v>
      </c>
      <c r="I35" s="119" t="s">
        <v>206</v>
      </c>
      <c r="J35" s="237">
        <f>Egendom!DS25</f>
        <v>0</v>
      </c>
      <c r="K35" s="119" t="s">
        <v>665</v>
      </c>
      <c r="L35" s="267"/>
      <c r="M35" s="259"/>
      <c r="Y35" s="446" t="str">
        <f t="shared" si="2"/>
        <v>Anställd arbetskraft</v>
      </c>
      <c r="Z35" s="450">
        <f t="shared" si="1"/>
        <v>0</v>
      </c>
    </row>
    <row r="36" spans="1:26" s="69" customFormat="1" ht="20.399999999999999" x14ac:dyDescent="0.35">
      <c r="A36" s="324"/>
      <c r="B36" s="289"/>
      <c r="C36" s="943" t="s">
        <v>54</v>
      </c>
      <c r="D36" s="944"/>
      <c r="E36" s="262"/>
      <c r="F36" s="280">
        <f>SUM(F32:F35)</f>
        <v>0</v>
      </c>
      <c r="G36" s="119" t="s">
        <v>57</v>
      </c>
      <c r="H36" s="509">
        <f t="shared" ref="H36:J36" si="3">SUM(H32:H35)</f>
        <v>0</v>
      </c>
      <c r="I36" s="119" t="s">
        <v>206</v>
      </c>
      <c r="J36" s="280">
        <f t="shared" si="3"/>
        <v>0</v>
      </c>
      <c r="K36" s="119" t="s">
        <v>665</v>
      </c>
      <c r="L36" s="281"/>
      <c r="M36" s="259"/>
      <c r="Y36" s="384" t="s">
        <v>538</v>
      </c>
      <c r="Z36" s="450">
        <f>F26</f>
        <v>0</v>
      </c>
    </row>
    <row r="37" spans="1:26" s="69" customFormat="1" ht="21" x14ac:dyDescent="0.4">
      <c r="A37" s="324"/>
      <c r="B37" s="287"/>
      <c r="C37" s="274"/>
      <c r="D37" s="270"/>
      <c r="E37" s="262"/>
      <c r="F37" s="276"/>
      <c r="G37" s="119"/>
      <c r="H37" s="277"/>
      <c r="I37" s="119"/>
      <c r="J37" s="237"/>
      <c r="K37" s="119"/>
      <c r="L37" s="267"/>
      <c r="M37" s="259"/>
      <c r="Y37" s="382" t="s">
        <v>482</v>
      </c>
      <c r="Z37" s="450">
        <f>F27</f>
        <v>0</v>
      </c>
    </row>
    <row r="38" spans="1:26" s="69" customFormat="1" ht="17.399999999999999" x14ac:dyDescent="0.3">
      <c r="A38" s="324"/>
      <c r="B38" s="1081" t="s">
        <v>704</v>
      </c>
      <c r="C38" s="1082"/>
      <c r="D38" s="1082"/>
      <c r="E38" s="262"/>
      <c r="F38" s="276"/>
      <c r="G38" s="119"/>
      <c r="H38" s="277"/>
      <c r="I38" s="119"/>
      <c r="J38" s="237"/>
      <c r="K38" s="119"/>
      <c r="L38" s="267"/>
      <c r="M38" s="259"/>
      <c r="Y38" s="382" t="s">
        <v>235</v>
      </c>
      <c r="Z38" s="451">
        <f>F36</f>
        <v>0</v>
      </c>
    </row>
    <row r="39" spans="1:26" s="69" customFormat="1" ht="21" x14ac:dyDescent="0.4">
      <c r="A39" s="324"/>
      <c r="B39" s="287"/>
      <c r="C39" s="941" t="s">
        <v>229</v>
      </c>
      <c r="D39" s="942"/>
      <c r="E39" s="262"/>
      <c r="F39" s="276">
        <f>IF('Gårdens info'!$D$31&gt;0,J39/'Gårdens info'!$D$31,0)</f>
        <v>0</v>
      </c>
      <c r="G39" s="119" t="s">
        <v>57</v>
      </c>
      <c r="H39" s="502">
        <f>IF('Gårdens info'!$G$31&gt;0,F39/'Gårdens info'!$G$31,0)</f>
        <v>0</v>
      </c>
      <c r="I39" s="119" t="s">
        <v>206</v>
      </c>
      <c r="J39" s="237">
        <f>Egendom!AY61</f>
        <v>0</v>
      </c>
      <c r="K39" s="119" t="s">
        <v>665</v>
      </c>
      <c r="L39" s="267"/>
      <c r="M39" s="259"/>
      <c r="Y39" s="382" t="s">
        <v>236</v>
      </c>
      <c r="Z39" s="451">
        <f>F43</f>
        <v>0</v>
      </c>
    </row>
    <row r="40" spans="1:26" s="69" customFormat="1" ht="21" x14ac:dyDescent="0.4">
      <c r="A40" s="324"/>
      <c r="B40" s="287"/>
      <c r="C40" s="941" t="s">
        <v>230</v>
      </c>
      <c r="D40" s="942"/>
      <c r="E40" s="262"/>
      <c r="F40" s="276">
        <f>IF('Gårdens info'!$D$31&gt;0,J40/'Gårdens info'!$D$31,0)</f>
        <v>0</v>
      </c>
      <c r="G40" s="119" t="s">
        <v>57</v>
      </c>
      <c r="H40" s="502">
        <f>IF('Gårdens info'!$G$31&gt;0,F40/'Gårdens info'!$G$31,0)</f>
        <v>0</v>
      </c>
      <c r="I40" s="119" t="s">
        <v>206</v>
      </c>
      <c r="J40" s="237">
        <f>Egendom!BW61</f>
        <v>0</v>
      </c>
      <c r="K40" s="119" t="s">
        <v>665</v>
      </c>
      <c r="L40" s="267"/>
      <c r="M40" s="259"/>
      <c r="Y40" s="382" t="s">
        <v>237</v>
      </c>
      <c r="Z40" s="451">
        <f>F50</f>
        <v>0</v>
      </c>
    </row>
    <row r="41" spans="1:26" s="192" customFormat="1" ht="17.399999999999999" customHeight="1" x14ac:dyDescent="0.3">
      <c r="A41" s="325"/>
      <c r="B41" s="287"/>
      <c r="C41" s="1108" t="s">
        <v>232</v>
      </c>
      <c r="D41" s="1108"/>
      <c r="E41" s="262"/>
      <c r="F41" s="276">
        <f>IF('Gårdens info'!$D$31&gt;0,J41/'Gårdens info'!$D$31,0)</f>
        <v>0</v>
      </c>
      <c r="G41" s="119" t="s">
        <v>57</v>
      </c>
      <c r="H41" s="502">
        <f>IF('Gårdens info'!$G$31&gt;0,F41/'Gårdens info'!$G$31,0)</f>
        <v>0</v>
      </c>
      <c r="I41" s="119" t="s">
        <v>206</v>
      </c>
      <c r="J41" s="237">
        <f>Egendom!CU61</f>
        <v>0</v>
      </c>
      <c r="K41" s="119" t="s">
        <v>665</v>
      </c>
      <c r="L41" s="267"/>
      <c r="M41" s="259"/>
      <c r="N41" s="69"/>
      <c r="O41" s="69"/>
      <c r="P41" s="69"/>
      <c r="Q41" s="69"/>
      <c r="R41" s="69"/>
      <c r="S41" s="69"/>
      <c r="T41" s="69"/>
      <c r="U41" s="69"/>
      <c r="Y41" s="382" t="s">
        <v>141</v>
      </c>
      <c r="Z41" s="451">
        <f>F56</f>
        <v>0</v>
      </c>
    </row>
    <row r="42" spans="1:26" ht="21" x14ac:dyDescent="0.4">
      <c r="B42" s="287"/>
      <c r="C42" s="941" t="s">
        <v>483</v>
      </c>
      <c r="D42" s="942"/>
      <c r="E42" s="262"/>
      <c r="F42" s="276">
        <f>IF('Gårdens info'!$D$31&gt;0,J42/'Gårdens info'!$D$31,0)</f>
        <v>0</v>
      </c>
      <c r="G42" s="119" t="s">
        <v>57</v>
      </c>
      <c r="H42" s="502">
        <f>IF('Gårdens info'!$G$31&gt;0,F42/'Gårdens info'!$G$31,0)</f>
        <v>0</v>
      </c>
      <c r="I42" s="119" t="s">
        <v>206</v>
      </c>
      <c r="J42" s="237">
        <f>Egendom!DS61</f>
        <v>0</v>
      </c>
      <c r="K42" s="119" t="s">
        <v>665</v>
      </c>
      <c r="L42" s="267"/>
      <c r="M42" s="259"/>
      <c r="N42" s="192"/>
      <c r="O42" s="192"/>
      <c r="P42" s="192"/>
      <c r="Q42" s="192"/>
      <c r="R42" s="192"/>
      <c r="S42" s="192"/>
      <c r="T42" s="192"/>
      <c r="U42" s="192"/>
      <c r="Y42" s="382" t="s">
        <v>192</v>
      </c>
      <c r="Z42" s="451">
        <f>F61</f>
        <v>0</v>
      </c>
    </row>
    <row r="43" spans="1:26" ht="20.399999999999999" x14ac:dyDescent="0.35">
      <c r="B43" s="289"/>
      <c r="C43" s="943" t="s">
        <v>54</v>
      </c>
      <c r="D43" s="944"/>
      <c r="E43" s="262"/>
      <c r="F43" s="280">
        <f>SUM(F39:F42)</f>
        <v>0</v>
      </c>
      <c r="G43" s="119" t="s">
        <v>57</v>
      </c>
      <c r="H43" s="509">
        <f t="shared" ref="H43:J43" si="4">SUM(H39:H42)</f>
        <v>0</v>
      </c>
      <c r="I43" s="119" t="s">
        <v>206</v>
      </c>
      <c r="J43" s="280">
        <f t="shared" si="4"/>
        <v>0</v>
      </c>
      <c r="K43" s="119" t="s">
        <v>665</v>
      </c>
      <c r="L43" s="281"/>
      <c r="M43" s="259"/>
      <c r="Y43" s="192"/>
      <c r="Z43" s="192"/>
    </row>
    <row r="44" spans="1:26" ht="21" x14ac:dyDescent="0.4">
      <c r="B44" s="287"/>
      <c r="C44" s="274"/>
      <c r="D44" s="270"/>
      <c r="E44" s="262"/>
      <c r="F44" s="276"/>
      <c r="G44" s="119"/>
      <c r="H44" s="277"/>
      <c r="I44" s="119"/>
      <c r="J44" s="237"/>
      <c r="K44" s="119"/>
      <c r="L44" s="267"/>
      <c r="M44" s="259"/>
    </row>
    <row r="45" spans="1:26" s="69" customFormat="1" ht="17.399999999999999" x14ac:dyDescent="0.3">
      <c r="A45" s="324"/>
      <c r="B45" s="1081" t="s">
        <v>355</v>
      </c>
      <c r="C45" s="1082"/>
      <c r="D45" s="1082"/>
      <c r="E45" s="262"/>
      <c r="F45" s="276"/>
      <c r="G45" s="119"/>
      <c r="H45" s="277"/>
      <c r="I45" s="119"/>
      <c r="J45" s="237"/>
      <c r="K45" s="119"/>
      <c r="L45" s="267"/>
      <c r="M45" s="259"/>
      <c r="N45"/>
      <c r="O45"/>
      <c r="P45"/>
      <c r="Q45"/>
      <c r="R45"/>
      <c r="S45"/>
      <c r="T45"/>
      <c r="U45"/>
      <c r="Y45"/>
      <c r="Z45"/>
    </row>
    <row r="46" spans="1:26" s="69" customFormat="1" ht="21" x14ac:dyDescent="0.4">
      <c r="A46" s="324"/>
      <c r="B46" s="287"/>
      <c r="C46" s="941" t="s">
        <v>229</v>
      </c>
      <c r="D46" s="942"/>
      <c r="E46" s="262"/>
      <c r="F46" s="276">
        <f>IF('Gårdens info'!$D$31&gt;0,J46/'Gårdens info'!$D$31,0)</f>
        <v>0</v>
      </c>
      <c r="G46" s="119" t="s">
        <v>57</v>
      </c>
      <c r="H46" s="502">
        <f>IF('Gårdens info'!$G$31&gt;0,F46/'Gårdens info'!$G$31,0)</f>
        <v>0</v>
      </c>
      <c r="I46" s="119" t="s">
        <v>206</v>
      </c>
      <c r="J46" s="237">
        <f>Egendom!AY90</f>
        <v>0</v>
      </c>
      <c r="K46" s="119" t="s">
        <v>665</v>
      </c>
      <c r="L46" s="267"/>
      <c r="M46" s="259"/>
      <c r="Y46"/>
      <c r="Z46"/>
    </row>
    <row r="47" spans="1:26" s="69" customFormat="1" ht="21" x14ac:dyDescent="0.4">
      <c r="A47" s="324"/>
      <c r="B47" s="287"/>
      <c r="C47" s="941" t="s">
        <v>230</v>
      </c>
      <c r="D47" s="942"/>
      <c r="E47" s="262"/>
      <c r="F47" s="276">
        <f>IF('Gårdens info'!$D$31&gt;0,J47/'Gårdens info'!$D$31,0)</f>
        <v>0</v>
      </c>
      <c r="G47" s="119" t="s">
        <v>57</v>
      </c>
      <c r="H47" s="502">
        <f>IF('Gårdens info'!$G$31&gt;0,F47/'Gårdens info'!$G$31,0)</f>
        <v>0</v>
      </c>
      <c r="I47" s="119" t="s">
        <v>206</v>
      </c>
      <c r="J47" s="237">
        <f>Egendom!BW90</f>
        <v>0</v>
      </c>
      <c r="K47" s="119" t="s">
        <v>665</v>
      </c>
      <c r="L47" s="267"/>
      <c r="M47" s="259"/>
    </row>
    <row r="48" spans="1:26" s="5" customFormat="1" ht="17.399999999999999" customHeight="1" x14ac:dyDescent="0.3">
      <c r="A48" s="322"/>
      <c r="B48" s="287"/>
      <c r="C48" s="1108" t="s">
        <v>232</v>
      </c>
      <c r="D48" s="1108"/>
      <c r="E48" s="262"/>
      <c r="F48" s="276">
        <f>IF('Gårdens info'!$D$31&gt;0,J48/'Gårdens info'!$D$31,0)</f>
        <v>0</v>
      </c>
      <c r="G48" s="119" t="s">
        <v>57</v>
      </c>
      <c r="H48" s="502">
        <f>IF('Gårdens info'!$G$31&gt;0,F48/'Gårdens info'!$G$31,0)</f>
        <v>0</v>
      </c>
      <c r="I48" s="119" t="s">
        <v>206</v>
      </c>
      <c r="J48" s="237">
        <f>Egendom!CU90</f>
        <v>0</v>
      </c>
      <c r="K48" s="119" t="s">
        <v>665</v>
      </c>
      <c r="L48" s="267"/>
      <c r="M48" s="259"/>
      <c r="N48" s="69"/>
      <c r="O48" s="69"/>
      <c r="P48" s="69"/>
      <c r="Q48" s="69"/>
      <c r="R48" s="69"/>
      <c r="S48" s="69"/>
      <c r="T48" s="69"/>
      <c r="U48" s="69"/>
      <c r="Y48" s="69"/>
      <c r="Z48" s="69"/>
    </row>
    <row r="49" spans="1:26" s="5" customFormat="1" ht="21" x14ac:dyDescent="0.4">
      <c r="A49" s="322"/>
      <c r="B49" s="287"/>
      <c r="C49" s="941" t="s">
        <v>483</v>
      </c>
      <c r="D49" s="942"/>
      <c r="E49" s="262"/>
      <c r="F49" s="276">
        <f>IF('Gårdens info'!$D$31&gt;0,J49/'Gårdens info'!$D$31,0)</f>
        <v>0</v>
      </c>
      <c r="G49" s="119" t="s">
        <v>57</v>
      </c>
      <c r="H49" s="502">
        <f>IF('Gårdens info'!$G$31&gt;0,F49/'Gårdens info'!$G$31,0)</f>
        <v>0</v>
      </c>
      <c r="I49" s="119" t="s">
        <v>206</v>
      </c>
      <c r="J49" s="237">
        <f>Egendom!DS90</f>
        <v>0</v>
      </c>
      <c r="K49" s="119" t="s">
        <v>665</v>
      </c>
      <c r="L49" s="267"/>
      <c r="M49" s="259"/>
      <c r="Y49" s="69"/>
      <c r="Z49" s="69"/>
    </row>
    <row r="50" spans="1:26" s="5" customFormat="1" ht="20.399999999999999" x14ac:dyDescent="0.35">
      <c r="A50" s="322"/>
      <c r="B50" s="289"/>
      <c r="C50" s="943" t="s">
        <v>54</v>
      </c>
      <c r="D50" s="944"/>
      <c r="E50" s="262"/>
      <c r="F50" s="280">
        <f>SUM(F46:F49)</f>
        <v>0</v>
      </c>
      <c r="G50" s="119" t="s">
        <v>57</v>
      </c>
      <c r="H50" s="509">
        <f t="shared" ref="H50:J50" si="5">SUM(H46:H49)</f>
        <v>0</v>
      </c>
      <c r="I50" s="119" t="s">
        <v>206</v>
      </c>
      <c r="J50" s="280">
        <f t="shared" si="5"/>
        <v>0</v>
      </c>
      <c r="K50" s="119" t="s">
        <v>665</v>
      </c>
      <c r="L50" s="281"/>
      <c r="M50" s="259"/>
    </row>
    <row r="51" spans="1:26" s="5" customFormat="1" ht="21" x14ac:dyDescent="0.4">
      <c r="A51" s="322"/>
      <c r="B51" s="287"/>
      <c r="C51" s="274"/>
      <c r="D51" s="270"/>
      <c r="E51" s="262"/>
      <c r="F51" s="276"/>
      <c r="G51" s="119"/>
      <c r="H51" s="277"/>
      <c r="I51" s="119"/>
      <c r="J51" s="237"/>
      <c r="K51" s="119"/>
      <c r="L51" s="267"/>
      <c r="M51" s="259"/>
    </row>
    <row r="52" spans="1:26" s="5" customFormat="1" ht="21" x14ac:dyDescent="0.4">
      <c r="A52" s="322"/>
      <c r="B52" s="1084" t="s">
        <v>139</v>
      </c>
      <c r="C52" s="1085"/>
      <c r="D52" s="270"/>
      <c r="E52" s="262"/>
      <c r="F52" s="276"/>
      <c r="G52" s="119"/>
      <c r="H52" s="277"/>
      <c r="I52" s="119"/>
      <c r="J52" s="237"/>
      <c r="K52" s="119"/>
      <c r="L52" s="267"/>
      <c r="M52" s="259"/>
    </row>
    <row r="53" spans="1:26" s="5" customFormat="1" ht="43.2" customHeight="1" x14ac:dyDescent="0.4">
      <c r="A53" s="322"/>
      <c r="B53" s="287"/>
      <c r="C53" s="941" t="s">
        <v>229</v>
      </c>
      <c r="D53" s="942"/>
      <c r="E53" s="262"/>
      <c r="F53" s="276">
        <f>IF('Gårdens info'!$D$31&gt;0,J53/'Gårdens info'!$D$31,0)</f>
        <v>0</v>
      </c>
      <c r="G53" s="119" t="s">
        <v>57</v>
      </c>
      <c r="H53" s="502">
        <f>IF('Gårdens info'!$G$31&gt;0,F53/'Gårdens info'!$G$31,0)</f>
        <v>0</v>
      </c>
      <c r="I53" s="119" t="s">
        <v>206</v>
      </c>
      <c r="J53" s="237">
        <f>Egendom!AY93</f>
        <v>0</v>
      </c>
      <c r="K53" s="119" t="s">
        <v>665</v>
      </c>
      <c r="L53" s="267"/>
      <c r="M53" s="259"/>
    </row>
    <row r="54" spans="1:26" ht="21" x14ac:dyDescent="0.4">
      <c r="B54" s="287"/>
      <c r="C54" s="941" t="s">
        <v>230</v>
      </c>
      <c r="D54" s="942"/>
      <c r="E54" s="262"/>
      <c r="F54" s="276">
        <f>IF('Gårdens info'!$D$31&gt;0,J54/'Gårdens info'!$D$31,0)</f>
        <v>0</v>
      </c>
      <c r="G54" s="119" t="s">
        <v>57</v>
      </c>
      <c r="H54" s="502">
        <f>IF('Gårdens info'!$G$31&gt;0,F54/'Gårdens info'!$G$31,0)</f>
        <v>0</v>
      </c>
      <c r="I54" s="119" t="s">
        <v>206</v>
      </c>
      <c r="J54" s="237">
        <f>Egendom!BW93</f>
        <v>0</v>
      </c>
      <c r="K54" s="119" t="s">
        <v>665</v>
      </c>
      <c r="L54" s="267"/>
      <c r="M54" s="259"/>
      <c r="N54" s="5"/>
      <c r="O54" s="5"/>
      <c r="P54" s="5"/>
      <c r="Q54" s="5"/>
      <c r="R54" s="5"/>
      <c r="S54" s="5"/>
      <c r="T54" s="5"/>
      <c r="U54" s="5"/>
      <c r="Y54" s="5"/>
      <c r="Z54" s="5"/>
    </row>
    <row r="55" spans="1:26" s="5" customFormat="1" ht="17.399999999999999" customHeight="1" x14ac:dyDescent="0.3">
      <c r="A55" s="322"/>
      <c r="B55" s="287"/>
      <c r="C55" s="1108" t="s">
        <v>232</v>
      </c>
      <c r="D55" s="1108"/>
      <c r="E55" s="262"/>
      <c r="F55" s="276">
        <f>IF('Gårdens info'!$D$31&gt;0,J55/'Gårdens info'!$D$31,0)</f>
        <v>0</v>
      </c>
      <c r="G55" s="119" t="s">
        <v>57</v>
      </c>
      <c r="H55" s="502">
        <f>IF('Gårdens info'!$G$31&gt;0,F55/'Gårdens info'!$G$31,0)</f>
        <v>0</v>
      </c>
      <c r="I55" s="119" t="s">
        <v>206</v>
      </c>
      <c r="J55" s="237">
        <f>Egendom!CU93</f>
        <v>0</v>
      </c>
      <c r="K55" s="119" t="s">
        <v>665</v>
      </c>
      <c r="L55" s="267"/>
      <c r="M55" s="259"/>
      <c r="N55"/>
      <c r="O55"/>
      <c r="P55"/>
      <c r="Q55"/>
      <c r="R55"/>
      <c r="S55"/>
      <c r="T55"/>
      <c r="U55"/>
    </row>
    <row r="56" spans="1:26" s="5" customFormat="1" ht="15.6" x14ac:dyDescent="0.3">
      <c r="A56" s="322"/>
      <c r="B56" s="286"/>
      <c r="C56" s="261" t="s">
        <v>54</v>
      </c>
      <c r="D56" s="261"/>
      <c r="E56" s="261"/>
      <c r="F56" s="280">
        <f>SUM(F53:F55)</f>
        <v>0</v>
      </c>
      <c r="G56" s="119" t="s">
        <v>57</v>
      </c>
      <c r="H56" s="509">
        <f t="shared" ref="H56:J56" si="6">SUM(H53:H55)</f>
        <v>0</v>
      </c>
      <c r="I56" s="119" t="s">
        <v>206</v>
      </c>
      <c r="J56" s="280">
        <f t="shared" si="6"/>
        <v>0</v>
      </c>
      <c r="K56" s="119" t="s">
        <v>665</v>
      </c>
      <c r="L56" s="284"/>
      <c r="M56" s="290"/>
      <c r="Y56"/>
      <c r="Z56"/>
    </row>
    <row r="57" spans="1:26" s="5" customFormat="1" ht="21" customHeight="1" x14ac:dyDescent="0.4">
      <c r="A57" s="322"/>
      <c r="B57" s="1061" t="s">
        <v>191</v>
      </c>
      <c r="C57" s="1043"/>
      <c r="D57" s="1043"/>
      <c r="E57" s="262"/>
      <c r="F57" s="266">
        <f>F36+F43+F50+F56</f>
        <v>0</v>
      </c>
      <c r="G57" s="267" t="s">
        <v>57</v>
      </c>
      <c r="H57" s="507">
        <f>H36+H43+H50+H56</f>
        <v>0</v>
      </c>
      <c r="I57" s="267" t="s">
        <v>206</v>
      </c>
      <c r="J57" s="269">
        <f>J36+J43+J50+J56</f>
        <v>0</v>
      </c>
      <c r="K57" s="267" t="s">
        <v>665</v>
      </c>
      <c r="L57" s="267"/>
      <c r="M57" s="259"/>
    </row>
    <row r="58" spans="1:26" s="5" customFormat="1" ht="15.6" x14ac:dyDescent="0.3">
      <c r="A58" s="322"/>
      <c r="B58" s="286"/>
      <c r="C58" s="262"/>
      <c r="D58" s="262"/>
      <c r="E58" s="262"/>
      <c r="F58" s="263"/>
      <c r="G58" s="243"/>
      <c r="H58" s="264"/>
      <c r="I58" s="243"/>
      <c r="J58" s="258"/>
      <c r="K58" s="243"/>
      <c r="L58" s="265"/>
      <c r="M58" s="259"/>
    </row>
    <row r="59" spans="1:26" s="5" customFormat="1" ht="21" x14ac:dyDescent="0.4">
      <c r="A59" s="322"/>
      <c r="B59" s="257" t="s">
        <v>192</v>
      </c>
      <c r="C59" s="262"/>
      <c r="D59" s="262"/>
      <c r="E59" s="262"/>
      <c r="F59" s="263"/>
      <c r="G59" s="243"/>
      <c r="H59" s="264"/>
      <c r="I59" s="243"/>
      <c r="J59" s="258"/>
      <c r="K59" s="243"/>
      <c r="L59" s="265"/>
      <c r="M59" s="259"/>
    </row>
    <row r="60" spans="1:26" s="5" customFormat="1" ht="17.399999999999999" x14ac:dyDescent="0.3">
      <c r="A60" s="322"/>
      <c r="B60" s="501" t="s">
        <v>240</v>
      </c>
      <c r="C60" s="245"/>
      <c r="D60" s="249"/>
      <c r="E60" s="249"/>
      <c r="F60" s="250"/>
      <c r="G60" s="120"/>
      <c r="H60" s="249"/>
      <c r="I60" s="249"/>
      <c r="J60" s="249"/>
      <c r="K60" s="249"/>
      <c r="L60" s="249"/>
      <c r="M60" s="234"/>
    </row>
    <row r="61" spans="1:26" s="5" customFormat="1" ht="15" x14ac:dyDescent="0.25">
      <c r="A61" s="322"/>
      <c r="B61" s="235"/>
      <c r="C61" s="228" t="s">
        <v>192</v>
      </c>
      <c r="D61" s="236"/>
      <c r="E61" s="236"/>
      <c r="F61" s="237">
        <f>IF('Gårdens info'!D31&gt;0,H182,0)</f>
        <v>0</v>
      </c>
      <c r="G61" s="119" t="s">
        <v>57</v>
      </c>
      <c r="H61" s="503">
        <f>IF('Gårdens info'!G31&gt;0,F61/'Gårdens info'!$G$31,0)</f>
        <v>0</v>
      </c>
      <c r="I61" s="119" t="s">
        <v>206</v>
      </c>
      <c r="J61" s="237">
        <f>F61*'Gårdens info'!D31</f>
        <v>0</v>
      </c>
      <c r="K61" s="119" t="s">
        <v>665</v>
      </c>
      <c r="L61" s="236"/>
      <c r="M61" s="239"/>
    </row>
    <row r="62" spans="1:26" s="5" customFormat="1" ht="19.95" customHeight="1" x14ac:dyDescent="0.3">
      <c r="A62" s="322"/>
      <c r="B62" s="248"/>
      <c r="C62" s="245"/>
      <c r="D62" s="249"/>
      <c r="E62" s="249"/>
      <c r="F62" s="250"/>
      <c r="G62" s="120"/>
      <c r="H62" s="249"/>
      <c r="I62" s="249"/>
      <c r="J62" s="249"/>
      <c r="K62" s="249"/>
      <c r="L62" s="249"/>
      <c r="M62" s="234"/>
    </row>
    <row r="63" spans="1:26" s="5" customFormat="1" ht="21" x14ac:dyDescent="0.4">
      <c r="A63" s="322"/>
      <c r="B63" s="1061" t="s">
        <v>194</v>
      </c>
      <c r="C63" s="1043"/>
      <c r="D63" s="1043"/>
      <c r="E63" s="262"/>
      <c r="F63" s="266">
        <f>F61</f>
        <v>0</v>
      </c>
      <c r="G63" s="267" t="s">
        <v>57</v>
      </c>
      <c r="H63" s="507">
        <f>H61</f>
        <v>0</v>
      </c>
      <c r="I63" s="267" t="s">
        <v>206</v>
      </c>
      <c r="J63" s="269">
        <f>J61</f>
        <v>0</v>
      </c>
      <c r="K63" s="267" t="s">
        <v>665</v>
      </c>
      <c r="L63" s="267"/>
      <c r="M63" s="259"/>
    </row>
    <row r="64" spans="1:26" s="5" customFormat="1" ht="21" x14ac:dyDescent="0.4">
      <c r="A64" s="322"/>
      <c r="B64" s="288"/>
      <c r="C64" s="270"/>
      <c r="D64" s="270"/>
      <c r="E64" s="262"/>
      <c r="F64" s="266"/>
      <c r="G64" s="267"/>
      <c r="H64" s="507"/>
      <c r="I64" s="267"/>
      <c r="J64" s="269"/>
      <c r="K64" s="267"/>
      <c r="L64" s="267"/>
      <c r="M64" s="259"/>
    </row>
    <row r="65" spans="1:13" s="5" customFormat="1" ht="21" x14ac:dyDescent="0.4">
      <c r="A65" s="322"/>
      <c r="B65" s="1061" t="s">
        <v>195</v>
      </c>
      <c r="C65" s="1043"/>
      <c r="D65" s="1043"/>
      <c r="E65" s="262"/>
      <c r="F65" s="266">
        <f>F28+F57+F63</f>
        <v>0</v>
      </c>
      <c r="G65" s="267" t="s">
        <v>57</v>
      </c>
      <c r="H65" s="572">
        <f>H28+H57+H63</f>
        <v>0</v>
      </c>
      <c r="I65" s="267" t="s">
        <v>206</v>
      </c>
      <c r="J65" s="266">
        <f>J28+J57+J63</f>
        <v>0</v>
      </c>
      <c r="K65" s="267" t="s">
        <v>665</v>
      </c>
      <c r="L65" s="267"/>
      <c r="M65" s="259"/>
    </row>
    <row r="66" spans="1:13" s="5" customFormat="1" ht="21" x14ac:dyDescent="0.4">
      <c r="A66" s="322"/>
      <c r="B66" s="288"/>
      <c r="C66" s="270"/>
      <c r="D66" s="270"/>
      <c r="E66" s="262"/>
      <c r="F66" s="266"/>
      <c r="G66" s="267"/>
      <c r="H66" s="268"/>
      <c r="I66" s="267"/>
      <c r="J66" s="269"/>
      <c r="K66" s="267"/>
      <c r="L66" s="267"/>
      <c r="M66" s="259"/>
    </row>
    <row r="67" spans="1:13" s="5" customFormat="1" ht="21.6" thickBot="1" x14ac:dyDescent="0.45">
      <c r="A67" s="322"/>
      <c r="B67" s="1059" t="s">
        <v>198</v>
      </c>
      <c r="C67" s="1060"/>
      <c r="D67" s="1060"/>
      <c r="E67" s="253"/>
      <c r="F67" s="292">
        <f>F11-F28-F57-F63</f>
        <v>0</v>
      </c>
      <c r="G67" s="293" t="s">
        <v>57</v>
      </c>
      <c r="H67" s="510">
        <f>H11-H28-H57-H63</f>
        <v>9.74</v>
      </c>
      <c r="I67" s="293" t="s">
        <v>206</v>
      </c>
      <c r="J67" s="292">
        <f>J11-J28-J57-J63</f>
        <v>0</v>
      </c>
      <c r="K67" s="293" t="s">
        <v>665</v>
      </c>
      <c r="L67" s="293"/>
      <c r="M67" s="254"/>
    </row>
    <row r="68" spans="1:13" s="5" customFormat="1" ht="13.8" thickBot="1" x14ac:dyDescent="0.3">
      <c r="A68" s="322"/>
      <c r="B68" s="116"/>
      <c r="C68" s="116"/>
      <c r="D68" s="116"/>
      <c r="E68" s="116"/>
      <c r="F68" s="116"/>
      <c r="G68" s="116"/>
      <c r="H68" s="116"/>
      <c r="I68" s="116"/>
      <c r="J68" s="116"/>
      <c r="K68" s="116"/>
      <c r="L68" s="116"/>
      <c r="M68" s="116"/>
    </row>
    <row r="69" spans="1:13" s="5" customFormat="1" ht="21.6" customHeight="1" thickBot="1" x14ac:dyDescent="0.45">
      <c r="A69" s="322"/>
      <c r="B69" s="1129" t="s">
        <v>564</v>
      </c>
      <c r="C69" s="1130"/>
      <c r="D69" s="1130"/>
      <c r="E69" s="1131"/>
      <c r="F69" s="116"/>
      <c r="G69" s="116"/>
      <c r="H69" s="116"/>
      <c r="I69" s="116"/>
      <c r="J69" s="460" t="s">
        <v>241</v>
      </c>
      <c r="K69" s="460"/>
      <c r="L69" s="116"/>
      <c r="M69" s="116"/>
    </row>
    <row r="70" spans="1:13" s="5" customFormat="1" x14ac:dyDescent="0.25">
      <c r="A70" s="322"/>
      <c r="B70" s="116"/>
      <c r="C70" s="116"/>
      <c r="D70" s="116"/>
      <c r="E70" s="116"/>
      <c r="F70" s="116"/>
      <c r="G70" s="116"/>
      <c r="H70" s="116"/>
      <c r="I70" s="116"/>
      <c r="J70" s="116"/>
      <c r="K70" s="116"/>
      <c r="L70" s="116"/>
      <c r="M70" s="116"/>
    </row>
    <row r="71" spans="1:13" s="5" customFormat="1" ht="19.95" customHeight="1" x14ac:dyDescent="0.3">
      <c r="A71" s="322"/>
      <c r="B71" s="89" t="s">
        <v>646</v>
      </c>
      <c r="C71" s="44"/>
      <c r="D71" s="44"/>
      <c r="E71" s="44"/>
      <c r="F71" s="1077" t="s">
        <v>114</v>
      </c>
      <c r="G71" s="1077"/>
      <c r="H71" s="1077" t="s">
        <v>113</v>
      </c>
      <c r="I71" s="1077"/>
      <c r="J71" s="1077" t="s">
        <v>243</v>
      </c>
      <c r="K71" s="1077"/>
      <c r="L71" s="111"/>
      <c r="M71" s="46"/>
    </row>
    <row r="72" spans="1:13" s="5" customFormat="1" ht="13.8" thickBot="1" x14ac:dyDescent="0.3">
      <c r="A72" s="322"/>
      <c r="B72" s="48"/>
      <c r="C72" s="44"/>
      <c r="D72" s="44"/>
      <c r="E72" s="44"/>
      <c r="F72" s="44"/>
      <c r="G72" s="44"/>
      <c r="H72" s="44"/>
      <c r="I72" s="44"/>
      <c r="J72" s="46"/>
      <c r="K72" s="46"/>
      <c r="L72" s="46"/>
      <c r="M72" s="46"/>
    </row>
    <row r="73" spans="1:13" s="5" customFormat="1" ht="13.8" thickBot="1" x14ac:dyDescent="0.3">
      <c r="A73" s="322"/>
      <c r="B73" s="44"/>
      <c r="C73" s="45" t="s">
        <v>705</v>
      </c>
      <c r="D73" s="46"/>
      <c r="E73" s="44"/>
      <c r="F73" s="94">
        <v>8000</v>
      </c>
      <c r="G73" s="44" t="s">
        <v>357</v>
      </c>
      <c r="H73" s="73">
        <v>0.65</v>
      </c>
      <c r="I73" s="49" t="s">
        <v>246</v>
      </c>
      <c r="J73" s="191">
        <f>F73*H73</f>
        <v>5200</v>
      </c>
      <c r="K73" s="44" t="s">
        <v>57</v>
      </c>
      <c r="L73" s="44"/>
      <c r="M73" s="46"/>
    </row>
    <row r="74" spans="1:13" s="5" customFormat="1" ht="13.8" thickBot="1" x14ac:dyDescent="0.3">
      <c r="A74" s="322"/>
      <c r="B74" s="44"/>
      <c r="C74" s="44" t="s">
        <v>596</v>
      </c>
      <c r="D74" s="45"/>
      <c r="E74" s="44"/>
      <c r="F74" s="94"/>
      <c r="G74" s="44" t="s">
        <v>357</v>
      </c>
      <c r="H74" s="73"/>
      <c r="I74" s="49" t="s">
        <v>246</v>
      </c>
      <c r="J74" s="191">
        <f t="shared" ref="J74:J75" si="7">F74*H74</f>
        <v>0</v>
      </c>
      <c r="K74" s="44" t="s">
        <v>57</v>
      </c>
      <c r="L74" s="46"/>
      <c r="M74" s="46"/>
    </row>
    <row r="75" spans="1:13" s="5" customFormat="1" ht="13.8" thickBot="1" x14ac:dyDescent="0.3">
      <c r="A75" s="322"/>
      <c r="B75" s="44"/>
      <c r="C75" s="44" t="s">
        <v>596</v>
      </c>
      <c r="D75" s="45"/>
      <c r="E75" s="44"/>
      <c r="F75" s="94"/>
      <c r="G75" s="44" t="s">
        <v>357</v>
      </c>
      <c r="H75" s="73"/>
      <c r="I75" s="49" t="s">
        <v>246</v>
      </c>
      <c r="J75" s="191">
        <f t="shared" si="7"/>
        <v>0</v>
      </c>
      <c r="K75" s="44" t="s">
        <v>57</v>
      </c>
      <c r="L75" s="46"/>
      <c r="M75" s="46"/>
    </row>
    <row r="76" spans="1:13" s="5" customFormat="1" x14ac:dyDescent="0.25">
      <c r="A76" s="322"/>
      <c r="B76" s="44"/>
      <c r="C76" s="50" t="s">
        <v>54</v>
      </c>
      <c r="D76" s="50"/>
      <c r="E76" s="50"/>
      <c r="F76" s="50"/>
      <c r="G76" s="50"/>
      <c r="H76" s="219"/>
      <c r="I76" s="219"/>
      <c r="J76" s="220">
        <f>SUM(J73:J75)</f>
        <v>5200</v>
      </c>
      <c r="K76" s="50" t="s">
        <v>57</v>
      </c>
      <c r="L76" s="46"/>
      <c r="M76" s="46"/>
    </row>
    <row r="77" spans="1:13" s="5" customFormat="1" x14ac:dyDescent="0.25">
      <c r="A77" s="322"/>
      <c r="B77" s="44"/>
      <c r="C77" s="44"/>
      <c r="D77" s="50"/>
      <c r="E77" s="44"/>
      <c r="F77" s="44"/>
      <c r="G77" s="44"/>
      <c r="H77" s="49"/>
      <c r="I77" s="49"/>
      <c r="J77" s="191"/>
      <c r="K77" s="44"/>
      <c r="L77" s="46"/>
      <c r="M77" s="46"/>
    </row>
    <row r="78" spans="1:13" s="5" customFormat="1" x14ac:dyDescent="0.25">
      <c r="A78" s="322"/>
      <c r="B78" s="116"/>
      <c r="C78" s="116"/>
      <c r="D78" s="116"/>
      <c r="E78" s="116"/>
      <c r="F78" s="116"/>
      <c r="G78" s="116"/>
      <c r="H78" s="116"/>
      <c r="I78" s="116"/>
      <c r="J78" s="116"/>
      <c r="K78" s="116"/>
      <c r="L78" s="116"/>
      <c r="M78" s="116"/>
    </row>
    <row r="79" spans="1:13" s="5" customFormat="1" ht="15.6" x14ac:dyDescent="0.3">
      <c r="A79" s="322"/>
      <c r="B79" s="96" t="s">
        <v>706</v>
      </c>
      <c r="C79" s="97"/>
      <c r="D79" s="97"/>
      <c r="E79" s="97"/>
      <c r="F79" s="1074" t="s">
        <v>114</v>
      </c>
      <c r="G79" s="1074"/>
      <c r="H79" s="1074" t="s">
        <v>113</v>
      </c>
      <c r="I79" s="1074"/>
      <c r="J79" s="1074" t="s">
        <v>243</v>
      </c>
      <c r="K79" s="1074"/>
      <c r="L79" s="99"/>
      <c r="M79" s="99"/>
    </row>
    <row r="80" spans="1:13" s="5" customFormat="1" ht="13.8" thickBot="1" x14ac:dyDescent="0.3">
      <c r="A80" s="322"/>
      <c r="B80" s="525" t="s">
        <v>417</v>
      </c>
      <c r="C80" s="97"/>
      <c r="D80" s="97"/>
      <c r="E80" s="97"/>
      <c r="F80" s="97"/>
      <c r="G80" s="97"/>
      <c r="H80" s="98"/>
      <c r="I80" s="98"/>
      <c r="J80" s="99"/>
      <c r="K80" s="99"/>
      <c r="L80" s="99"/>
      <c r="M80" s="99"/>
    </row>
    <row r="81" spans="1:26" s="5" customFormat="1" ht="13.8" thickBot="1" x14ac:dyDescent="0.3">
      <c r="A81" s="322"/>
      <c r="B81" s="97"/>
      <c r="C81" s="97" t="s">
        <v>611</v>
      </c>
      <c r="D81" s="99"/>
      <c r="E81" s="97"/>
      <c r="F81" s="94">
        <v>100</v>
      </c>
      <c r="G81" s="97" t="s">
        <v>212</v>
      </c>
      <c r="H81" s="77">
        <v>1.7</v>
      </c>
      <c r="I81" s="98" t="s">
        <v>206</v>
      </c>
      <c r="J81" s="100">
        <f>F81*H81</f>
        <v>170</v>
      </c>
      <c r="K81" s="97" t="s">
        <v>57</v>
      </c>
      <c r="L81" s="99"/>
      <c r="M81" s="99"/>
    </row>
    <row r="82" spans="1:26" s="194" customFormat="1" ht="16.2" thickBot="1" x14ac:dyDescent="0.35">
      <c r="A82" s="326"/>
      <c r="B82" s="97"/>
      <c r="C82" s="97" t="s">
        <v>612</v>
      </c>
      <c r="D82" s="99"/>
      <c r="E82" s="97"/>
      <c r="F82" s="94">
        <v>130</v>
      </c>
      <c r="G82" s="97" t="s">
        <v>212</v>
      </c>
      <c r="H82" s="77">
        <v>2.1</v>
      </c>
      <c r="I82" s="98" t="s">
        <v>206</v>
      </c>
      <c r="J82" s="100">
        <f t="shared" ref="J82:J84" si="8">F82*H82</f>
        <v>273</v>
      </c>
      <c r="K82" s="97" t="s">
        <v>57</v>
      </c>
      <c r="L82" s="99"/>
      <c r="M82" s="99"/>
      <c r="N82" s="5"/>
      <c r="O82" s="5"/>
      <c r="P82" s="5"/>
      <c r="Q82" s="5"/>
      <c r="R82" s="5"/>
      <c r="S82" s="5"/>
      <c r="T82" s="5"/>
      <c r="U82" s="5"/>
      <c r="Y82" s="5"/>
      <c r="Z82" s="5"/>
    </row>
    <row r="83" spans="1:26" s="5" customFormat="1" ht="16.2" thickBot="1" x14ac:dyDescent="0.35">
      <c r="A83" s="322"/>
      <c r="B83" s="97"/>
      <c r="C83" s="97" t="s">
        <v>251</v>
      </c>
      <c r="D83" s="99"/>
      <c r="E83" s="97"/>
      <c r="F83" s="74"/>
      <c r="G83" s="97" t="s">
        <v>212</v>
      </c>
      <c r="H83" s="77"/>
      <c r="I83" s="98" t="s">
        <v>206</v>
      </c>
      <c r="J83" s="100">
        <f t="shared" si="8"/>
        <v>0</v>
      </c>
      <c r="K83" s="97" t="s">
        <v>57</v>
      </c>
      <c r="L83" s="99"/>
      <c r="M83" s="99"/>
      <c r="N83" s="194"/>
      <c r="O83" s="194"/>
      <c r="P83" s="194"/>
      <c r="Q83" s="194"/>
      <c r="R83" s="194"/>
      <c r="S83" s="194"/>
      <c r="T83" s="194"/>
      <c r="U83" s="194"/>
    </row>
    <row r="84" spans="1:26" s="5" customFormat="1" ht="16.2" thickBot="1" x14ac:dyDescent="0.35">
      <c r="A84" s="322"/>
      <c r="B84" s="97"/>
      <c r="C84" s="97" t="s">
        <v>251</v>
      </c>
      <c r="D84" s="99"/>
      <c r="E84" s="97"/>
      <c r="F84" s="74"/>
      <c r="G84" s="97" t="s">
        <v>212</v>
      </c>
      <c r="H84" s="77"/>
      <c r="I84" s="98" t="s">
        <v>206</v>
      </c>
      <c r="J84" s="100">
        <f t="shared" si="8"/>
        <v>0</v>
      </c>
      <c r="K84" s="97" t="s">
        <v>57</v>
      </c>
      <c r="L84" s="99"/>
      <c r="M84" s="99"/>
      <c r="Y84" s="194"/>
      <c r="Z84" s="194"/>
    </row>
    <row r="85" spans="1:26" s="56" customFormat="1" ht="17.399999999999999" x14ac:dyDescent="0.3">
      <c r="A85" s="323"/>
      <c r="B85" s="97"/>
      <c r="C85" s="97"/>
      <c r="D85" s="97"/>
      <c r="E85" s="97"/>
      <c r="F85" s="97"/>
      <c r="G85" s="97"/>
      <c r="H85" s="97"/>
      <c r="I85" s="98"/>
      <c r="J85" s="100"/>
      <c r="K85" s="97"/>
      <c r="L85" s="99"/>
      <c r="M85" s="99"/>
      <c r="N85" s="5"/>
      <c r="O85" s="5"/>
      <c r="P85" s="5"/>
      <c r="Q85" s="5"/>
      <c r="R85" s="5"/>
      <c r="S85" s="5"/>
      <c r="T85" s="5"/>
      <c r="U85" s="5"/>
      <c r="Y85" s="5"/>
      <c r="Z85" s="5"/>
    </row>
    <row r="86" spans="1:26" s="56" customFormat="1" ht="18" thickBot="1" x14ac:dyDescent="0.35">
      <c r="A86" s="323"/>
      <c r="B86" s="525" t="s">
        <v>412</v>
      </c>
      <c r="C86" s="97"/>
      <c r="D86" s="99"/>
      <c r="E86" s="97"/>
      <c r="F86" s="97"/>
      <c r="G86" s="97"/>
      <c r="H86" s="98"/>
      <c r="I86" s="98"/>
      <c r="J86" s="100"/>
      <c r="K86" s="97"/>
      <c r="L86" s="99"/>
      <c r="M86" s="99"/>
      <c r="Y86" s="5"/>
      <c r="Z86" s="5"/>
    </row>
    <row r="87" spans="1:26" s="56" customFormat="1" ht="18" thickBot="1" x14ac:dyDescent="0.35">
      <c r="A87" s="323"/>
      <c r="B87" s="97"/>
      <c r="C87" s="97" t="s">
        <v>707</v>
      </c>
      <c r="D87" s="97"/>
      <c r="E87" s="97"/>
      <c r="F87" s="74">
        <v>1000</v>
      </c>
      <c r="G87" s="97" t="s">
        <v>31</v>
      </c>
      <c r="H87" s="74">
        <v>1</v>
      </c>
      <c r="I87" s="98" t="s">
        <v>246</v>
      </c>
      <c r="J87" s="100">
        <f t="shared" ref="J87:J89" si="9">F87*H87</f>
        <v>1000</v>
      </c>
      <c r="K87" s="97" t="s">
        <v>57</v>
      </c>
      <c r="L87" s="99"/>
      <c r="M87" s="99"/>
      <c r="Y87" s="5"/>
      <c r="Z87" s="5"/>
    </row>
    <row r="88" spans="1:26" s="56" customFormat="1" ht="18" thickBot="1" x14ac:dyDescent="0.35">
      <c r="A88" s="323"/>
      <c r="B88" s="97"/>
      <c r="C88" s="97" t="s">
        <v>650</v>
      </c>
      <c r="D88" s="97"/>
      <c r="E88" s="97"/>
      <c r="F88" s="74"/>
      <c r="G88" s="97" t="s">
        <v>212</v>
      </c>
      <c r="H88" s="77"/>
      <c r="I88" s="98" t="s">
        <v>206</v>
      </c>
      <c r="J88" s="100">
        <f t="shared" si="9"/>
        <v>0</v>
      </c>
      <c r="K88" s="97" t="s">
        <v>57</v>
      </c>
      <c r="L88" s="99"/>
      <c r="M88" s="99"/>
      <c r="Y88" s="5"/>
      <c r="Z88" s="5"/>
    </row>
    <row r="89" spans="1:26" s="56" customFormat="1" ht="18" thickBot="1" x14ac:dyDescent="0.35">
      <c r="A89" s="323"/>
      <c r="B89" s="97"/>
      <c r="C89" s="97" t="s">
        <v>650</v>
      </c>
      <c r="D89" s="97"/>
      <c r="E89" s="97"/>
      <c r="F89" s="74"/>
      <c r="G89" s="97" t="s">
        <v>212</v>
      </c>
      <c r="H89" s="77"/>
      <c r="I89" s="98" t="s">
        <v>206</v>
      </c>
      <c r="J89" s="100">
        <f t="shared" si="9"/>
        <v>0</v>
      </c>
      <c r="K89" s="97" t="s">
        <v>57</v>
      </c>
      <c r="L89" s="99"/>
      <c r="M89" s="99"/>
      <c r="Y89" s="5"/>
      <c r="Z89" s="5"/>
    </row>
    <row r="90" spans="1:26" s="56" customFormat="1" ht="17.399999999999999" x14ac:dyDescent="0.3">
      <c r="A90" s="323"/>
      <c r="B90" s="214"/>
      <c r="C90" s="214" t="s">
        <v>54</v>
      </c>
      <c r="D90" s="214"/>
      <c r="E90" s="214"/>
      <c r="F90" s="214"/>
      <c r="G90" s="214"/>
      <c r="H90" s="214"/>
      <c r="I90" s="215"/>
      <c r="J90" s="216">
        <f>SUM(J80:J89)</f>
        <v>1443</v>
      </c>
      <c r="K90" s="214" t="s">
        <v>57</v>
      </c>
      <c r="L90" s="99"/>
      <c r="M90" s="99"/>
      <c r="Y90" s="5"/>
      <c r="Z90" s="5"/>
    </row>
    <row r="91" spans="1:26" s="56" customFormat="1" ht="17.399999999999999" x14ac:dyDescent="0.3">
      <c r="A91" s="323"/>
      <c r="B91" s="97"/>
      <c r="C91" s="97"/>
      <c r="D91" s="97"/>
      <c r="E91" s="97"/>
      <c r="F91" s="97"/>
      <c r="G91" s="97"/>
      <c r="H91" s="97"/>
      <c r="I91" s="98"/>
      <c r="J91" s="100"/>
      <c r="K91" s="97"/>
      <c r="L91" s="99"/>
      <c r="M91" s="99"/>
      <c r="Y91" s="5"/>
      <c r="Z91" s="5"/>
    </row>
    <row r="92" spans="1:26" s="69" customFormat="1" ht="17.399999999999999" x14ac:dyDescent="0.3">
      <c r="A92" s="324"/>
      <c r="B92"/>
      <c r="C92"/>
      <c r="D92"/>
      <c r="E92"/>
      <c r="F92"/>
      <c r="G92"/>
      <c r="H92"/>
      <c r="I92"/>
      <c r="J92"/>
      <c r="K92"/>
      <c r="L92"/>
      <c r="M92"/>
      <c r="N92" s="56"/>
      <c r="O92" s="56"/>
      <c r="P92" s="56"/>
      <c r="Q92" s="56"/>
      <c r="R92" s="56"/>
      <c r="S92" s="56"/>
      <c r="T92" s="56"/>
      <c r="U92" s="56"/>
      <c r="Y92" s="5"/>
      <c r="Z92" s="5"/>
    </row>
    <row r="93" spans="1:26" ht="15.6" x14ac:dyDescent="0.3">
      <c r="B93" s="85" t="s">
        <v>708</v>
      </c>
      <c r="C93" s="51"/>
      <c r="D93" s="51"/>
      <c r="E93" s="51"/>
      <c r="F93" s="1075" t="s">
        <v>114</v>
      </c>
      <c r="G93" s="1075"/>
      <c r="H93" s="1076" t="s">
        <v>113</v>
      </c>
      <c r="I93" s="1076"/>
      <c r="J93" s="1075" t="s">
        <v>243</v>
      </c>
      <c r="K93" s="1075"/>
      <c r="L93" s="58"/>
      <c r="M93" s="58"/>
      <c r="N93" s="69"/>
      <c r="O93" s="69"/>
      <c r="P93" s="69"/>
      <c r="Q93" s="69"/>
      <c r="R93" s="69"/>
      <c r="S93" s="69"/>
      <c r="T93" s="69"/>
      <c r="U93" s="69"/>
    </row>
    <row r="94" spans="1:26" ht="15.6" x14ac:dyDescent="0.3">
      <c r="B94" s="85"/>
      <c r="C94" s="51"/>
      <c r="D94" s="387" t="s">
        <v>253</v>
      </c>
      <c r="E94" s="51"/>
      <c r="F94" s="59"/>
      <c r="G94" s="59"/>
      <c r="H94" s="60"/>
      <c r="I94" s="60"/>
      <c r="J94" s="59"/>
      <c r="K94" s="59"/>
      <c r="L94" s="58"/>
      <c r="M94" s="58"/>
    </row>
    <row r="95" spans="1:26" ht="13.8" thickBot="1" x14ac:dyDescent="0.3">
      <c r="B95" s="171" t="s">
        <v>254</v>
      </c>
      <c r="C95" s="51"/>
      <c r="D95" s="51"/>
      <c r="E95" s="51"/>
      <c r="F95" s="53"/>
      <c r="G95" s="53"/>
      <c r="H95" s="52"/>
      <c r="I95" s="52"/>
      <c r="J95" s="58"/>
      <c r="K95" s="58"/>
      <c r="L95" s="58"/>
      <c r="M95" s="58"/>
    </row>
    <row r="96" spans="1:26" ht="13.8" thickBot="1" x14ac:dyDescent="0.3">
      <c r="B96" s="51"/>
      <c r="C96" s="51" t="s">
        <v>614</v>
      </c>
      <c r="D96" s="58"/>
      <c r="E96" s="51"/>
      <c r="F96" s="95">
        <v>0.25</v>
      </c>
      <c r="G96" s="53" t="s">
        <v>256</v>
      </c>
      <c r="H96" s="77">
        <v>39.200000000000003</v>
      </c>
      <c r="I96" s="52" t="s">
        <v>257</v>
      </c>
      <c r="J96" s="58">
        <f t="shared" ref="J96:J106" si="10">F96*H96</f>
        <v>9.8000000000000007</v>
      </c>
      <c r="K96" s="51" t="s">
        <v>57</v>
      </c>
      <c r="L96" s="58"/>
      <c r="M96" s="58"/>
    </row>
    <row r="97" spans="1:26" ht="13.8" thickBot="1" x14ac:dyDescent="0.3">
      <c r="B97" s="51"/>
      <c r="C97" s="51" t="s">
        <v>684</v>
      </c>
      <c r="D97" s="58"/>
      <c r="E97" s="51"/>
      <c r="F97" s="95">
        <v>3</v>
      </c>
      <c r="G97" s="53" t="s">
        <v>212</v>
      </c>
      <c r="H97" s="77">
        <v>75</v>
      </c>
      <c r="I97" s="52" t="s">
        <v>206</v>
      </c>
      <c r="J97" s="58">
        <f t="shared" si="10"/>
        <v>225</v>
      </c>
      <c r="K97" s="51" t="s">
        <v>57</v>
      </c>
      <c r="L97" s="58"/>
      <c r="M97" s="58"/>
    </row>
    <row r="98" spans="1:26" ht="13.8" thickBot="1" x14ac:dyDescent="0.3">
      <c r="B98" s="51"/>
      <c r="C98" s="51" t="s">
        <v>616</v>
      </c>
      <c r="D98" s="58"/>
      <c r="E98" s="51"/>
      <c r="F98" s="95">
        <v>2</v>
      </c>
      <c r="G98" s="53" t="s">
        <v>212</v>
      </c>
      <c r="H98" s="77">
        <v>108</v>
      </c>
      <c r="I98" s="52" t="s">
        <v>206</v>
      </c>
      <c r="J98" s="58">
        <f t="shared" si="10"/>
        <v>216</v>
      </c>
      <c r="K98" s="51" t="s">
        <v>57</v>
      </c>
      <c r="L98" s="58"/>
      <c r="M98" s="58"/>
    </row>
    <row r="99" spans="1:26" ht="13.8" thickBot="1" x14ac:dyDescent="0.3">
      <c r="B99" s="51"/>
      <c r="C99" s="51" t="s">
        <v>265</v>
      </c>
      <c r="D99" s="51"/>
      <c r="E99" s="51"/>
      <c r="F99" s="95"/>
      <c r="G99" s="53" t="s">
        <v>256</v>
      </c>
      <c r="H99" s="77"/>
      <c r="I99" s="52" t="s">
        <v>257</v>
      </c>
      <c r="J99" s="58">
        <f t="shared" si="10"/>
        <v>0</v>
      </c>
      <c r="K99" s="51" t="s">
        <v>57</v>
      </c>
      <c r="L99" s="58"/>
      <c r="M99" s="58"/>
    </row>
    <row r="100" spans="1:26" ht="13.8" thickBot="1" x14ac:dyDescent="0.3">
      <c r="B100" s="51"/>
      <c r="C100" s="51" t="s">
        <v>265</v>
      </c>
      <c r="D100" s="51"/>
      <c r="E100" s="51"/>
      <c r="F100" s="95"/>
      <c r="G100" s="53" t="s">
        <v>256</v>
      </c>
      <c r="H100" s="77"/>
      <c r="I100" s="52" t="s">
        <v>257</v>
      </c>
      <c r="J100" s="58">
        <f t="shared" si="10"/>
        <v>0</v>
      </c>
      <c r="K100" s="51" t="s">
        <v>57</v>
      </c>
      <c r="L100" s="58"/>
      <c r="M100" s="58"/>
    </row>
    <row r="101" spans="1:26" x14ac:dyDescent="0.25">
      <c r="B101" s="51"/>
      <c r="C101" s="51"/>
      <c r="D101" s="51"/>
      <c r="E101" s="51"/>
      <c r="F101" s="53"/>
      <c r="G101" s="53"/>
      <c r="H101" s="52"/>
      <c r="I101" s="52"/>
      <c r="J101" s="58"/>
      <c r="K101" s="51"/>
      <c r="L101" s="58"/>
      <c r="M101" s="58"/>
    </row>
    <row r="102" spans="1:26" ht="13.8" thickBot="1" x14ac:dyDescent="0.3">
      <c r="B102" s="171" t="s">
        <v>266</v>
      </c>
      <c r="C102" s="51"/>
      <c r="D102" s="51"/>
      <c r="E102" s="51"/>
      <c r="F102" s="53"/>
      <c r="G102" s="53"/>
      <c r="H102" s="52"/>
      <c r="I102" s="52"/>
      <c r="J102" s="58"/>
      <c r="K102" s="51"/>
      <c r="L102" s="58"/>
      <c r="M102" s="58"/>
    </row>
    <row r="103" spans="1:26" ht="13.8" thickBot="1" x14ac:dyDescent="0.3">
      <c r="B103" s="51"/>
      <c r="C103" s="51" t="s">
        <v>617</v>
      </c>
      <c r="D103" s="51"/>
      <c r="E103" s="51"/>
      <c r="F103" s="76">
        <v>500</v>
      </c>
      <c r="G103" s="53" t="s">
        <v>618</v>
      </c>
      <c r="H103" s="485">
        <v>2E-3</v>
      </c>
      <c r="I103" s="52" t="s">
        <v>246</v>
      </c>
      <c r="J103" s="58">
        <f t="shared" si="10"/>
        <v>1</v>
      </c>
      <c r="K103" s="51" t="s">
        <v>57</v>
      </c>
      <c r="L103" s="58"/>
      <c r="M103" s="58"/>
    </row>
    <row r="104" spans="1:26" s="5" customFormat="1" ht="13.8" thickBot="1" x14ac:dyDescent="0.3">
      <c r="A104" s="322"/>
      <c r="B104" s="51"/>
      <c r="C104" s="51" t="s">
        <v>619</v>
      </c>
      <c r="D104" s="51"/>
      <c r="E104" s="51"/>
      <c r="F104" s="95">
        <v>0.5</v>
      </c>
      <c r="G104" s="53" t="s">
        <v>212</v>
      </c>
      <c r="H104" s="95">
        <v>255</v>
      </c>
      <c r="I104" s="51" t="s">
        <v>206</v>
      </c>
      <c r="J104" s="58">
        <f t="shared" ref="J104" si="11">F104*H104</f>
        <v>127.5</v>
      </c>
      <c r="K104" s="51" t="s">
        <v>57</v>
      </c>
      <c r="L104" s="58"/>
      <c r="M104" s="58"/>
      <c r="N104"/>
      <c r="O104"/>
      <c r="P104"/>
      <c r="Q104"/>
      <c r="R104"/>
      <c r="S104"/>
      <c r="T104"/>
      <c r="U104"/>
      <c r="Y104"/>
      <c r="Z104"/>
    </row>
    <row r="105" spans="1:26" ht="13.8" thickBot="1" x14ac:dyDescent="0.3">
      <c r="B105" s="51"/>
      <c r="C105" s="51" t="s">
        <v>267</v>
      </c>
      <c r="D105" s="51"/>
      <c r="E105" s="51"/>
      <c r="F105" s="95"/>
      <c r="G105" s="53"/>
      <c r="H105" s="95"/>
      <c r="I105" s="195"/>
      <c r="J105" s="58">
        <f t="shared" si="10"/>
        <v>0</v>
      </c>
      <c r="K105" s="51" t="s">
        <v>57</v>
      </c>
      <c r="L105" s="58"/>
      <c r="M105" s="58"/>
      <c r="N105" s="5"/>
      <c r="O105" s="5"/>
      <c r="P105" s="5"/>
      <c r="Q105" s="5"/>
      <c r="R105" s="5"/>
      <c r="S105" s="5"/>
      <c r="T105" s="5"/>
      <c r="U105" s="5"/>
    </row>
    <row r="106" spans="1:26" ht="21" customHeight="1" thickBot="1" x14ac:dyDescent="0.3">
      <c r="B106" s="51"/>
      <c r="C106" s="51" t="s">
        <v>267</v>
      </c>
      <c r="D106" s="51"/>
      <c r="E106" s="51"/>
      <c r="F106" s="95"/>
      <c r="G106" s="53"/>
      <c r="H106" s="95"/>
      <c r="I106" s="52"/>
      <c r="J106" s="58">
        <f t="shared" si="10"/>
        <v>0</v>
      </c>
      <c r="K106" s="51" t="s">
        <v>57</v>
      </c>
      <c r="L106" s="58"/>
      <c r="M106" s="58"/>
      <c r="Y106" s="5"/>
      <c r="Z106" s="5"/>
    </row>
    <row r="107" spans="1:26" x14ac:dyDescent="0.25">
      <c r="B107" s="195"/>
      <c r="C107" s="195" t="s">
        <v>54</v>
      </c>
      <c r="D107" s="195"/>
      <c r="E107" s="195"/>
      <c r="F107" s="196"/>
      <c r="G107" s="196"/>
      <c r="H107" s="196"/>
      <c r="I107" s="52"/>
      <c r="J107" s="195">
        <f>SUM(J96:J106)</f>
        <v>579.29999999999995</v>
      </c>
      <c r="K107" s="195" t="s">
        <v>57</v>
      </c>
      <c r="L107" s="195"/>
      <c r="M107" s="195"/>
    </row>
    <row r="108" spans="1:26" x14ac:dyDescent="0.25">
      <c r="B108" s="51"/>
      <c r="C108" s="51"/>
      <c r="D108" s="51"/>
      <c r="E108" s="51"/>
      <c r="F108" s="53"/>
      <c r="G108" s="53"/>
      <c r="H108" s="52"/>
      <c r="I108" s="52"/>
      <c r="J108" s="58"/>
      <c r="K108" s="51"/>
      <c r="L108" s="58"/>
      <c r="M108" s="58"/>
    </row>
    <row r="109" spans="1:26" x14ac:dyDescent="0.25">
      <c r="B109" s="116"/>
      <c r="C109" s="116"/>
      <c r="D109" s="116"/>
      <c r="E109" s="116"/>
      <c r="F109" s="116"/>
      <c r="G109" s="116"/>
      <c r="H109" s="116"/>
      <c r="I109" s="116"/>
      <c r="J109" s="116"/>
      <c r="K109" s="116"/>
      <c r="L109" s="116"/>
      <c r="M109" s="116"/>
    </row>
    <row r="110" spans="1:26" ht="15.6" x14ac:dyDescent="0.3">
      <c r="B110" s="526" t="s">
        <v>620</v>
      </c>
      <c r="C110" s="527"/>
      <c r="D110" s="527"/>
      <c r="E110" s="527"/>
      <c r="F110" s="1125" t="s">
        <v>114</v>
      </c>
      <c r="G110" s="1125"/>
      <c r="H110" s="1125" t="s">
        <v>113</v>
      </c>
      <c r="I110" s="1125"/>
      <c r="J110" s="1125" t="s">
        <v>243</v>
      </c>
      <c r="K110" s="1125"/>
      <c r="L110" s="101"/>
      <c r="M110" s="101"/>
    </row>
    <row r="111" spans="1:26" ht="13.8" thickBot="1" x14ac:dyDescent="0.3">
      <c r="B111" s="527"/>
      <c r="C111" s="527"/>
      <c r="D111" s="527"/>
      <c r="E111" s="527"/>
      <c r="F111" s="527"/>
      <c r="G111" s="527"/>
      <c r="H111" s="528"/>
      <c r="I111" s="528"/>
      <c r="J111" s="101"/>
      <c r="K111" s="101"/>
      <c r="L111" s="101"/>
      <c r="M111" s="101"/>
    </row>
    <row r="112" spans="1:26" ht="13.8" thickBot="1" x14ac:dyDescent="0.3">
      <c r="B112" s="527"/>
      <c r="C112" s="527" t="s">
        <v>621</v>
      </c>
      <c r="D112" s="101"/>
      <c r="E112" s="527"/>
      <c r="F112" s="529">
        <v>4</v>
      </c>
      <c r="G112" s="527" t="s">
        <v>622</v>
      </c>
      <c r="H112" s="530">
        <v>160</v>
      </c>
      <c r="I112" s="528" t="s">
        <v>623</v>
      </c>
      <c r="J112" s="531">
        <f t="shared" ref="J112:J114" si="12">F112*H112</f>
        <v>640</v>
      </c>
      <c r="K112" s="527" t="s">
        <v>57</v>
      </c>
      <c r="L112" s="101"/>
      <c r="M112" s="101"/>
    </row>
    <row r="113" spans="1:26" ht="13.8" thickBot="1" x14ac:dyDescent="0.3">
      <c r="B113" s="527"/>
      <c r="C113" s="527" t="s">
        <v>274</v>
      </c>
      <c r="D113" s="527"/>
      <c r="E113" s="527"/>
      <c r="F113" s="529"/>
      <c r="G113" s="527" t="s">
        <v>7</v>
      </c>
      <c r="H113" s="530"/>
      <c r="I113" s="528" t="s">
        <v>57</v>
      </c>
      <c r="J113" s="531">
        <f t="shared" si="12"/>
        <v>0</v>
      </c>
      <c r="K113" s="527" t="s">
        <v>57</v>
      </c>
      <c r="L113" s="101"/>
      <c r="M113" s="101"/>
    </row>
    <row r="114" spans="1:26" ht="13.8" thickBot="1" x14ac:dyDescent="0.3">
      <c r="B114" s="527"/>
      <c r="C114" s="527" t="s">
        <v>274</v>
      </c>
      <c r="D114" s="527"/>
      <c r="E114" s="527"/>
      <c r="F114" s="529"/>
      <c r="G114" s="527" t="s">
        <v>7</v>
      </c>
      <c r="H114" s="530"/>
      <c r="I114" s="528" t="s">
        <v>57</v>
      </c>
      <c r="J114" s="531">
        <f t="shared" si="12"/>
        <v>0</v>
      </c>
      <c r="K114" s="527" t="s">
        <v>57</v>
      </c>
      <c r="L114" s="101"/>
      <c r="M114" s="101"/>
    </row>
    <row r="115" spans="1:26" x14ac:dyDescent="0.25">
      <c r="B115" s="305"/>
      <c r="C115" s="305" t="s">
        <v>54</v>
      </c>
      <c r="D115" s="305"/>
      <c r="E115" s="305"/>
      <c r="F115" s="305"/>
      <c r="G115" s="305"/>
      <c r="H115" s="532"/>
      <c r="I115" s="532"/>
      <c r="J115" s="533">
        <f>SUM(J112:J114)</f>
        <v>640</v>
      </c>
      <c r="K115" s="305" t="s">
        <v>57</v>
      </c>
      <c r="L115" s="305"/>
      <c r="M115" s="305"/>
    </row>
    <row r="116" spans="1:26" x14ac:dyDescent="0.25">
      <c r="B116" s="527"/>
      <c r="C116" s="527"/>
      <c r="D116" s="527"/>
      <c r="E116" s="527"/>
      <c r="F116" s="527"/>
      <c r="G116" s="527"/>
      <c r="H116" s="528"/>
      <c r="I116" s="528"/>
      <c r="J116" s="531"/>
      <c r="K116" s="527"/>
      <c r="L116" s="101"/>
      <c r="M116" s="101"/>
    </row>
    <row r="117" spans="1:26" s="5" customFormat="1" x14ac:dyDescent="0.25">
      <c r="A117" s="322"/>
      <c r="B117" s="116"/>
      <c r="C117" s="116"/>
      <c r="D117" s="116"/>
      <c r="E117" s="116"/>
      <c r="F117" s="116"/>
      <c r="G117" s="116"/>
      <c r="H117" s="116"/>
      <c r="I117" s="116"/>
      <c r="J117" s="116"/>
      <c r="K117" s="116"/>
      <c r="L117" s="116"/>
      <c r="M117" s="116"/>
      <c r="N117"/>
      <c r="O117"/>
      <c r="P117"/>
      <c r="Q117"/>
      <c r="R117"/>
      <c r="S117"/>
      <c r="T117"/>
      <c r="U117"/>
      <c r="Y117"/>
      <c r="Z117"/>
    </row>
    <row r="118" spans="1:26" ht="15.6" x14ac:dyDescent="0.3">
      <c r="B118" s="86" t="s">
        <v>709</v>
      </c>
      <c r="C118" s="61"/>
      <c r="D118" s="61"/>
      <c r="E118" s="61"/>
      <c r="F118" s="1071" t="s">
        <v>114</v>
      </c>
      <c r="G118" s="1071"/>
      <c r="H118" s="1071" t="s">
        <v>113</v>
      </c>
      <c r="I118" s="1071"/>
      <c r="J118" s="1071" t="s">
        <v>243</v>
      </c>
      <c r="K118" s="1071"/>
      <c r="L118" s="63"/>
      <c r="M118" s="63"/>
      <c r="N118" s="5"/>
      <c r="O118" s="5"/>
      <c r="P118" s="5"/>
      <c r="Q118" s="5"/>
      <c r="R118" s="5"/>
      <c r="S118" s="5"/>
      <c r="T118" s="5"/>
      <c r="U118" s="5"/>
    </row>
    <row r="119" spans="1:26" ht="13.8" thickBot="1" x14ac:dyDescent="0.3">
      <c r="B119" s="61"/>
      <c r="C119" s="61"/>
      <c r="D119" s="61"/>
      <c r="E119" s="61"/>
      <c r="F119" s="61"/>
      <c r="G119" s="61"/>
      <c r="H119" s="62"/>
      <c r="I119" s="62"/>
      <c r="J119" s="63"/>
      <c r="K119" s="63"/>
      <c r="L119" s="63"/>
      <c r="M119" s="63"/>
      <c r="Y119" s="5"/>
      <c r="Z119" s="5"/>
    </row>
    <row r="120" spans="1:26" ht="13.8" thickBot="1" x14ac:dyDescent="0.3">
      <c r="B120" s="61"/>
      <c r="C120" s="61" t="s">
        <v>710</v>
      </c>
      <c r="D120" s="61"/>
      <c r="E120" s="61"/>
      <c r="F120" s="388">
        <f>IF(S10&gt;0,S10*'Gårdens info'!G31/1,0)</f>
        <v>900</v>
      </c>
      <c r="G120" s="61" t="s">
        <v>116</v>
      </c>
      <c r="H120" s="77">
        <v>0</v>
      </c>
      <c r="I120" s="62" t="s">
        <v>74</v>
      </c>
      <c r="J120" s="64">
        <f>F120*H120</f>
        <v>0</v>
      </c>
      <c r="K120" s="61" t="s">
        <v>57</v>
      </c>
      <c r="L120" s="63"/>
      <c r="M120" s="63"/>
      <c r="Y120" s="5"/>
      <c r="Z120" s="5"/>
    </row>
    <row r="121" spans="1:26" ht="13.8" thickBot="1" x14ac:dyDescent="0.3">
      <c r="B121" s="61"/>
      <c r="C121" s="61" t="s">
        <v>626</v>
      </c>
      <c r="D121" s="63"/>
      <c r="E121" s="61"/>
      <c r="F121" s="388">
        <f>IF(S11&gt;0,S11*'Gårdens info'!G31/5,0)</f>
        <v>0</v>
      </c>
      <c r="G121" s="61" t="s">
        <v>116</v>
      </c>
      <c r="H121" s="77">
        <v>0.1</v>
      </c>
      <c r="I121" s="62" t="s">
        <v>74</v>
      </c>
      <c r="J121" s="64">
        <f>F121*H121</f>
        <v>0</v>
      </c>
      <c r="K121" s="61" t="s">
        <v>57</v>
      </c>
      <c r="L121" s="63"/>
      <c r="M121" s="63"/>
    </row>
    <row r="122" spans="1:26" ht="13.8" thickBot="1" x14ac:dyDescent="0.3">
      <c r="B122" s="61"/>
      <c r="C122" s="61" t="s">
        <v>627</v>
      </c>
      <c r="D122" s="63"/>
      <c r="E122" s="61"/>
      <c r="F122" s="388">
        <f>IF(S12&gt;0,S12*'Gårdens info'!G31/3,0)</f>
        <v>1050</v>
      </c>
      <c r="G122" s="61" t="s">
        <v>116</v>
      </c>
      <c r="H122" s="77">
        <v>0.1</v>
      </c>
      <c r="I122" s="62" t="s">
        <v>74</v>
      </c>
      <c r="J122" s="64">
        <f t="shared" ref="J122:J127" si="13">F122*H122</f>
        <v>105</v>
      </c>
      <c r="K122" s="61" t="s">
        <v>57</v>
      </c>
      <c r="L122" s="63"/>
      <c r="M122" s="63"/>
    </row>
    <row r="123" spans="1:26" ht="13.8" thickBot="1" x14ac:dyDescent="0.3">
      <c r="B123" s="61"/>
      <c r="C123" s="61" t="s">
        <v>628</v>
      </c>
      <c r="D123" s="63"/>
      <c r="E123" s="61"/>
      <c r="F123" s="388">
        <f>IF(S13&gt;0,S13*'Gårdens info'!G31/0.5,0)</f>
        <v>900</v>
      </c>
      <c r="G123" s="61" t="s">
        <v>116</v>
      </c>
      <c r="H123" s="77">
        <v>4.9000000000000002E-2</v>
      </c>
      <c r="I123" s="62" t="s">
        <v>74</v>
      </c>
      <c r="J123" s="64">
        <f t="shared" si="13"/>
        <v>44.1</v>
      </c>
      <c r="K123" s="61" t="s">
        <v>57</v>
      </c>
      <c r="L123" s="63"/>
      <c r="M123" s="63"/>
    </row>
    <row r="124" spans="1:26" ht="13.8" thickBot="1" x14ac:dyDescent="0.3">
      <c r="B124" s="61"/>
      <c r="C124" s="61" t="s">
        <v>629</v>
      </c>
      <c r="D124" s="63"/>
      <c r="E124" s="61"/>
      <c r="F124" s="388">
        <f>IF(S14&gt;0,S14*'Gårdens info'!G31/0.25,0)</f>
        <v>0</v>
      </c>
      <c r="G124" s="61" t="s">
        <v>116</v>
      </c>
      <c r="H124" s="77">
        <v>0.04</v>
      </c>
      <c r="I124" s="62" t="s">
        <v>74</v>
      </c>
      <c r="J124" s="64">
        <f t="shared" si="13"/>
        <v>0</v>
      </c>
      <c r="K124" s="61" t="s">
        <v>57</v>
      </c>
      <c r="L124" s="63"/>
      <c r="M124" s="63"/>
    </row>
    <row r="125" spans="1:26" ht="13.8" thickBot="1" x14ac:dyDescent="0.3">
      <c r="B125" s="61"/>
      <c r="C125" s="74" t="s">
        <v>216</v>
      </c>
      <c r="D125" s="74"/>
      <c r="E125" s="61" t="s">
        <v>212</v>
      </c>
      <c r="F125" s="388">
        <f>IF(S15&gt;0,S15*'Gårdens info'!G31/D125,0)</f>
        <v>0</v>
      </c>
      <c r="G125" s="61" t="s">
        <v>116</v>
      </c>
      <c r="H125" s="77"/>
      <c r="I125" s="62" t="s">
        <v>74</v>
      </c>
      <c r="J125" s="64">
        <f t="shared" si="13"/>
        <v>0</v>
      </c>
      <c r="K125" s="61" t="s">
        <v>57</v>
      </c>
      <c r="L125" s="63"/>
      <c r="M125" s="63"/>
    </row>
    <row r="126" spans="1:26" ht="13.8" thickBot="1" x14ac:dyDescent="0.3">
      <c r="B126" s="61"/>
      <c r="C126" s="74" t="s">
        <v>216</v>
      </c>
      <c r="D126" s="74"/>
      <c r="E126" s="61" t="s">
        <v>212</v>
      </c>
      <c r="F126" s="388">
        <f>IF(S16&gt;0,S16*'Gårdens info'!G31/D126,0)</f>
        <v>0</v>
      </c>
      <c r="G126" s="61" t="s">
        <v>116</v>
      </c>
      <c r="H126" s="77"/>
      <c r="I126" s="62" t="s">
        <v>74</v>
      </c>
      <c r="J126" s="64">
        <f t="shared" ref="J126" si="14">F126*H126</f>
        <v>0</v>
      </c>
      <c r="K126" s="61" t="s">
        <v>57</v>
      </c>
      <c r="L126" s="63"/>
      <c r="M126" s="63"/>
    </row>
    <row r="127" spans="1:26" ht="13.8" thickBot="1" x14ac:dyDescent="0.3">
      <c r="B127" s="61"/>
      <c r="C127" s="74" t="s">
        <v>216</v>
      </c>
      <c r="D127" s="74"/>
      <c r="E127" s="61" t="s">
        <v>212</v>
      </c>
      <c r="F127" s="388">
        <f>IF(S17&gt;0,S17*'Gårdens info'!G31/D127,0)</f>
        <v>0</v>
      </c>
      <c r="G127" s="61" t="s">
        <v>116</v>
      </c>
      <c r="H127" s="77"/>
      <c r="I127" s="62" t="s">
        <v>74</v>
      </c>
      <c r="J127" s="64">
        <f t="shared" si="13"/>
        <v>0</v>
      </c>
      <c r="K127" s="61" t="s">
        <v>57</v>
      </c>
      <c r="L127" s="63"/>
      <c r="M127" s="63"/>
    </row>
    <row r="128" spans="1:26" x14ac:dyDescent="0.25">
      <c r="B128" s="198"/>
      <c r="C128" s="198" t="s">
        <v>54</v>
      </c>
      <c r="D128" s="198"/>
      <c r="E128" s="198"/>
      <c r="F128" s="198"/>
      <c r="G128" s="198"/>
      <c r="H128" s="199"/>
      <c r="I128" s="199"/>
      <c r="J128" s="200">
        <f>SUM(J121:J127)</f>
        <v>149.1</v>
      </c>
      <c r="K128" s="198" t="s">
        <v>57</v>
      </c>
      <c r="L128" s="198"/>
      <c r="M128" s="198"/>
    </row>
    <row r="129" spans="1:26" x14ac:dyDescent="0.25">
      <c r="B129" s="61"/>
      <c r="C129" s="61"/>
      <c r="D129" s="61"/>
      <c r="E129" s="61"/>
      <c r="F129" s="61"/>
      <c r="G129" s="61"/>
      <c r="H129" s="62"/>
      <c r="I129" s="62"/>
      <c r="J129" s="64"/>
      <c r="K129" s="61"/>
      <c r="L129" s="63"/>
      <c r="M129" s="63"/>
    </row>
    <row r="130" spans="1:26" ht="25.2" customHeight="1" x14ac:dyDescent="0.25">
      <c r="B130" s="116"/>
      <c r="C130" s="116"/>
      <c r="D130" s="116"/>
      <c r="E130" s="116"/>
      <c r="F130" s="116"/>
      <c r="G130" s="116"/>
      <c r="H130" s="116"/>
      <c r="I130" s="116"/>
      <c r="J130" s="116"/>
      <c r="K130" s="116"/>
      <c r="L130" s="116"/>
      <c r="M130" s="116"/>
    </row>
    <row r="131" spans="1:26" ht="25.2" customHeight="1" x14ac:dyDescent="0.3">
      <c r="B131" s="87" t="s">
        <v>711</v>
      </c>
      <c r="C131" s="65"/>
      <c r="D131" s="65"/>
      <c r="E131" s="65"/>
      <c r="F131" s="1072" t="s">
        <v>114</v>
      </c>
      <c r="G131" s="1072"/>
      <c r="H131" s="1072" t="s">
        <v>113</v>
      </c>
      <c r="I131" s="1072"/>
      <c r="J131" s="1072" t="s">
        <v>243</v>
      </c>
      <c r="K131" s="1072"/>
      <c r="L131" s="67"/>
      <c r="M131" s="67"/>
    </row>
    <row r="132" spans="1:26" ht="13.8" thickBot="1" x14ac:dyDescent="0.3">
      <c r="B132" s="65"/>
      <c r="C132" s="65"/>
      <c r="D132" s="65"/>
      <c r="E132" s="65"/>
      <c r="F132" s="65"/>
      <c r="G132" s="65"/>
      <c r="H132" s="66"/>
      <c r="I132" s="66"/>
      <c r="J132" s="67"/>
      <c r="K132" s="67"/>
      <c r="L132" s="67"/>
      <c r="M132" s="67"/>
    </row>
    <row r="133" spans="1:26" ht="13.8" thickBot="1" x14ac:dyDescent="0.3">
      <c r="B133" s="65"/>
      <c r="C133" s="65" t="s">
        <v>222</v>
      </c>
      <c r="D133" s="67"/>
      <c r="E133" s="65"/>
      <c r="F133" s="74">
        <f>'Gårdens info'!G31*'Gårdens info'!D31</f>
        <v>0</v>
      </c>
      <c r="G133" s="65" t="s">
        <v>212</v>
      </c>
      <c r="H133" s="77">
        <v>0.3</v>
      </c>
      <c r="I133" s="66" t="s">
        <v>206</v>
      </c>
      <c r="J133" s="68">
        <f t="shared" ref="J133:J135" si="15">F133*H133</f>
        <v>0</v>
      </c>
      <c r="K133" s="65" t="s">
        <v>57</v>
      </c>
      <c r="L133" s="67"/>
      <c r="M133" s="67"/>
    </row>
    <row r="134" spans="1:26" ht="13.8" thickBot="1" x14ac:dyDescent="0.3">
      <c r="B134" s="65"/>
      <c r="C134" s="65" t="s">
        <v>274</v>
      </c>
      <c r="D134" s="65"/>
      <c r="E134" s="65"/>
      <c r="F134" s="74"/>
      <c r="G134" s="65" t="s">
        <v>212</v>
      </c>
      <c r="H134" s="77"/>
      <c r="I134" s="66" t="s">
        <v>206</v>
      </c>
      <c r="J134" s="68">
        <f t="shared" si="15"/>
        <v>0</v>
      </c>
      <c r="K134" s="65" t="s">
        <v>57</v>
      </c>
      <c r="L134" s="67"/>
      <c r="M134" s="67"/>
    </row>
    <row r="135" spans="1:26" ht="13.8" thickBot="1" x14ac:dyDescent="0.3">
      <c r="B135" s="65"/>
      <c r="C135" s="65" t="s">
        <v>274</v>
      </c>
      <c r="D135" s="65"/>
      <c r="E135" s="65"/>
      <c r="F135" s="74"/>
      <c r="G135" s="65" t="s">
        <v>212</v>
      </c>
      <c r="H135" s="77"/>
      <c r="I135" s="66" t="s">
        <v>206</v>
      </c>
      <c r="J135" s="68">
        <f t="shared" si="15"/>
        <v>0</v>
      </c>
      <c r="K135" s="65" t="s">
        <v>57</v>
      </c>
      <c r="L135" s="67"/>
      <c r="M135" s="67"/>
    </row>
    <row r="136" spans="1:26" x14ac:dyDescent="0.25">
      <c r="B136" s="201"/>
      <c r="C136" s="201" t="s">
        <v>54</v>
      </c>
      <c r="D136" s="201"/>
      <c r="E136" s="201"/>
      <c r="F136" s="201"/>
      <c r="G136" s="201"/>
      <c r="H136" s="202"/>
      <c r="I136" s="202"/>
      <c r="J136" s="203">
        <f>SUM(J133:J135)</f>
        <v>0</v>
      </c>
      <c r="K136" s="201" t="s">
        <v>57</v>
      </c>
      <c r="L136" s="201"/>
      <c r="M136" s="201"/>
    </row>
    <row r="137" spans="1:26" x14ac:dyDescent="0.25">
      <c r="B137" s="65"/>
      <c r="C137" s="65"/>
      <c r="D137" s="65"/>
      <c r="E137" s="65"/>
      <c r="F137" s="65"/>
      <c r="G137" s="65"/>
      <c r="H137" s="66"/>
      <c r="I137" s="66"/>
      <c r="J137" s="68"/>
      <c r="K137" s="65"/>
      <c r="L137" s="67"/>
      <c r="M137" s="67"/>
    </row>
    <row r="138" spans="1:26" x14ac:dyDescent="0.25">
      <c r="B138" s="116"/>
      <c r="C138" s="116"/>
      <c r="D138" s="116"/>
      <c r="E138" s="116"/>
      <c r="F138" s="116"/>
      <c r="G138" s="116"/>
      <c r="H138" s="116"/>
      <c r="I138" s="116"/>
      <c r="J138" s="116"/>
      <c r="K138" s="116"/>
      <c r="L138" s="116"/>
      <c r="M138" s="116"/>
    </row>
    <row r="139" spans="1:26" ht="15.6" x14ac:dyDescent="0.3">
      <c r="B139" s="176" t="s">
        <v>712</v>
      </c>
      <c r="C139" s="177"/>
      <c r="D139" s="177"/>
      <c r="E139" s="177"/>
      <c r="F139" s="1067" t="s">
        <v>114</v>
      </c>
      <c r="G139" s="1067"/>
      <c r="H139" s="1067" t="s">
        <v>113</v>
      </c>
      <c r="I139" s="1067"/>
      <c r="J139" s="1067" t="s">
        <v>243</v>
      </c>
      <c r="K139" s="1067"/>
      <c r="L139" s="179"/>
      <c r="M139" s="179"/>
    </row>
    <row r="140" spans="1:26" s="5" customFormat="1" ht="13.8" thickBot="1" x14ac:dyDescent="0.3">
      <c r="A140" s="322"/>
      <c r="B140" s="954"/>
      <c r="C140" s="177"/>
      <c r="D140" s="954"/>
      <c r="E140" s="954"/>
      <c r="F140" s="954"/>
      <c r="G140" s="954"/>
      <c r="H140" s="954"/>
      <c r="I140" s="954"/>
      <c r="J140" s="954"/>
      <c r="K140" s="954"/>
      <c r="L140" s="179"/>
      <c r="M140" s="179"/>
      <c r="N140"/>
      <c r="O140"/>
      <c r="P140"/>
      <c r="Q140"/>
      <c r="R140"/>
      <c r="S140"/>
      <c r="T140"/>
      <c r="U140"/>
      <c r="Y140"/>
      <c r="Z140"/>
    </row>
    <row r="141" spans="1:26" ht="13.8" thickBot="1" x14ac:dyDescent="0.3">
      <c r="B141" s="177"/>
      <c r="C141" s="177" t="s">
        <v>276</v>
      </c>
      <c r="D141" s="179"/>
      <c r="E141" s="177"/>
      <c r="F141" s="74"/>
      <c r="G141" s="177" t="s">
        <v>7</v>
      </c>
      <c r="H141" s="77"/>
      <c r="I141" s="178" t="s">
        <v>57</v>
      </c>
      <c r="J141" s="180">
        <f t="shared" ref="J141:J143" si="16">F141*H141</f>
        <v>0</v>
      </c>
      <c r="K141" s="177" t="s">
        <v>57</v>
      </c>
      <c r="L141" s="179"/>
      <c r="M141" s="179"/>
      <c r="N141" s="5"/>
      <c r="O141" s="5"/>
      <c r="P141" s="5"/>
      <c r="Q141" s="5"/>
      <c r="R141" s="5"/>
      <c r="S141" s="5"/>
      <c r="T141" s="5"/>
      <c r="U141" s="5"/>
    </row>
    <row r="142" spans="1:26" ht="13.8" thickBot="1" x14ac:dyDescent="0.3">
      <c r="A142" s="327"/>
      <c r="B142" s="177"/>
      <c r="C142" s="177" t="s">
        <v>276</v>
      </c>
      <c r="D142" s="177"/>
      <c r="E142" s="177"/>
      <c r="F142" s="74"/>
      <c r="G142" s="177" t="s">
        <v>7</v>
      </c>
      <c r="H142" s="77"/>
      <c r="I142" s="178" t="s">
        <v>57</v>
      </c>
      <c r="J142" s="180">
        <f t="shared" si="16"/>
        <v>0</v>
      </c>
      <c r="K142" s="177" t="s">
        <v>57</v>
      </c>
      <c r="L142" s="179"/>
      <c r="M142" s="179"/>
      <c r="Y142" s="5"/>
      <c r="Z142" s="5"/>
    </row>
    <row r="143" spans="1:26" ht="13.8" thickBot="1" x14ac:dyDescent="0.3">
      <c r="A143" s="327"/>
      <c r="B143" s="177"/>
      <c r="C143" s="177" t="s">
        <v>276</v>
      </c>
      <c r="D143" s="177"/>
      <c r="E143" s="177"/>
      <c r="F143" s="74"/>
      <c r="G143" s="177" t="s">
        <v>7</v>
      </c>
      <c r="H143" s="77"/>
      <c r="I143" s="178" t="s">
        <v>57</v>
      </c>
      <c r="J143" s="180">
        <f t="shared" si="16"/>
        <v>0</v>
      </c>
      <c r="K143" s="177" t="s">
        <v>57</v>
      </c>
      <c r="L143" s="179"/>
      <c r="M143" s="179"/>
    </row>
    <row r="144" spans="1:26" x14ac:dyDescent="0.25">
      <c r="A144" s="327"/>
      <c r="B144" s="204"/>
      <c r="C144" s="204" t="s">
        <v>54</v>
      </c>
      <c r="D144" s="204"/>
      <c r="E144" s="204"/>
      <c r="F144" s="204"/>
      <c r="G144" s="204"/>
      <c r="H144" s="205"/>
      <c r="I144" s="205"/>
      <c r="J144" s="206">
        <f>SUM(J141:J143)</f>
        <v>0</v>
      </c>
      <c r="K144" s="204" t="s">
        <v>57</v>
      </c>
      <c r="L144" s="204"/>
      <c r="M144" s="204"/>
    </row>
    <row r="145" spans="1:26" x14ac:dyDescent="0.25">
      <c r="A145" s="327"/>
      <c r="B145" s="177"/>
      <c r="C145" s="177"/>
      <c r="D145" s="177"/>
      <c r="E145" s="177"/>
      <c r="F145" s="177"/>
      <c r="G145" s="177"/>
      <c r="H145" s="178"/>
      <c r="I145" s="178"/>
      <c r="J145" s="180"/>
      <c r="K145" s="177"/>
      <c r="L145" s="179"/>
      <c r="M145" s="179"/>
    </row>
    <row r="146" spans="1:26" x14ac:dyDescent="0.25">
      <c r="A146" s="327"/>
      <c r="B146" s="116"/>
      <c r="C146" s="116"/>
      <c r="D146" s="116"/>
      <c r="E146" s="116"/>
      <c r="F146" s="116"/>
      <c r="G146" s="116"/>
      <c r="H146" s="116"/>
      <c r="I146" s="116"/>
      <c r="J146" s="116"/>
      <c r="K146" s="116"/>
      <c r="L146" s="116"/>
      <c r="M146" s="116"/>
    </row>
    <row r="147" spans="1:26" ht="15.6" x14ac:dyDescent="0.3">
      <c r="A147" s="327"/>
      <c r="B147" s="181" t="s">
        <v>713</v>
      </c>
      <c r="C147" s="182"/>
      <c r="D147" s="182"/>
      <c r="E147" s="183"/>
      <c r="F147" s="182" t="s">
        <v>114</v>
      </c>
      <c r="G147" s="184"/>
      <c r="H147" s="184" t="s">
        <v>113</v>
      </c>
      <c r="I147" s="182"/>
      <c r="J147" s="182" t="s">
        <v>243</v>
      </c>
      <c r="K147" s="185"/>
      <c r="L147" s="185"/>
      <c r="M147" s="185"/>
    </row>
    <row r="148" spans="1:26" ht="16.2" thickBot="1" x14ac:dyDescent="0.35">
      <c r="A148" s="327"/>
      <c r="B148" s="181"/>
      <c r="C148" s="182"/>
      <c r="D148" s="182"/>
      <c r="E148" s="183"/>
      <c r="F148" s="182"/>
      <c r="G148" s="184"/>
      <c r="H148" s="184"/>
      <c r="I148" s="182"/>
      <c r="J148" s="182"/>
      <c r="K148" s="185"/>
      <c r="L148" s="185"/>
      <c r="M148" s="185"/>
    </row>
    <row r="149" spans="1:26" ht="13.8" thickBot="1" x14ac:dyDescent="0.3">
      <c r="A149" s="327"/>
      <c r="B149" s="182"/>
      <c r="C149" s="182" t="s">
        <v>278</v>
      </c>
      <c r="D149" s="185"/>
      <c r="E149" s="186"/>
      <c r="F149" s="74">
        <v>1000</v>
      </c>
      <c r="G149" s="187" t="s">
        <v>279</v>
      </c>
      <c r="H149" s="74">
        <v>0.15</v>
      </c>
      <c r="I149" s="188" t="s">
        <v>280</v>
      </c>
      <c r="J149" s="521">
        <f>H149*F149</f>
        <v>150</v>
      </c>
      <c r="K149" s="188" t="s">
        <v>57</v>
      </c>
      <c r="L149" s="185"/>
      <c r="M149" s="185"/>
    </row>
    <row r="150" spans="1:26" ht="13.8" thickBot="1" x14ac:dyDescent="0.3">
      <c r="B150" s="182"/>
      <c r="C150" s="182" t="s">
        <v>685</v>
      </c>
      <c r="D150" s="188">
        <f>F182/2</f>
        <v>88</v>
      </c>
      <c r="E150" s="182" t="s">
        <v>282</v>
      </c>
      <c r="F150" s="74">
        <f>+D150*8</f>
        <v>704</v>
      </c>
      <c r="G150" s="184" t="s">
        <v>256</v>
      </c>
      <c r="H150" s="74">
        <v>0.83</v>
      </c>
      <c r="I150" s="188" t="s">
        <v>257</v>
      </c>
      <c r="J150" s="521">
        <f>H150*F150</f>
        <v>584.31999999999994</v>
      </c>
      <c r="K150" s="188" t="s">
        <v>57</v>
      </c>
      <c r="L150" s="185"/>
      <c r="M150" s="185"/>
    </row>
    <row r="151" spans="1:26" ht="13.8" thickBot="1" x14ac:dyDescent="0.3">
      <c r="B151" s="182"/>
      <c r="C151" s="182" t="s">
        <v>686</v>
      </c>
      <c r="D151" s="188">
        <f>D150</f>
        <v>88</v>
      </c>
      <c r="E151" s="182" t="s">
        <v>282</v>
      </c>
      <c r="F151" s="74">
        <v>11.88</v>
      </c>
      <c r="G151" s="184" t="s">
        <v>212</v>
      </c>
      <c r="H151" s="74">
        <v>4</v>
      </c>
      <c r="I151" s="188" t="s">
        <v>206</v>
      </c>
      <c r="J151" s="521">
        <f t="shared" ref="J151:J155" si="17">H151*F151</f>
        <v>47.52</v>
      </c>
      <c r="K151" s="188" t="s">
        <v>57</v>
      </c>
      <c r="L151" s="185"/>
      <c r="M151" s="185"/>
    </row>
    <row r="152" spans="1:26" s="5" customFormat="1" ht="13.8" thickBot="1" x14ac:dyDescent="0.3">
      <c r="A152" s="322"/>
      <c r="B152" s="182"/>
      <c r="C152" s="182" t="s">
        <v>284</v>
      </c>
      <c r="D152" s="185"/>
      <c r="E152" s="188"/>
      <c r="F152" s="74">
        <v>200</v>
      </c>
      <c r="G152" s="184" t="s">
        <v>256</v>
      </c>
      <c r="H152" s="74">
        <v>1.53</v>
      </c>
      <c r="I152" s="188" t="s">
        <v>257</v>
      </c>
      <c r="J152" s="521">
        <f t="shared" si="17"/>
        <v>306</v>
      </c>
      <c r="K152" s="188" t="s">
        <v>57</v>
      </c>
      <c r="L152" s="185"/>
      <c r="M152" s="185"/>
      <c r="N152"/>
      <c r="O152"/>
      <c r="P152"/>
      <c r="Q152"/>
      <c r="R152"/>
      <c r="S152"/>
      <c r="T152"/>
      <c r="U152"/>
      <c r="Y152"/>
      <c r="Z152"/>
    </row>
    <row r="153" spans="1:26" ht="13.8" thickBot="1" x14ac:dyDescent="0.3">
      <c r="B153" s="182"/>
      <c r="C153" s="182" t="s">
        <v>285</v>
      </c>
      <c r="D153" s="185"/>
      <c r="E153" s="188"/>
      <c r="F153" s="74">
        <v>1.48</v>
      </c>
      <c r="G153" s="184" t="s">
        <v>256</v>
      </c>
      <c r="H153" s="74">
        <v>1.6</v>
      </c>
      <c r="I153" s="188" t="s">
        <v>257</v>
      </c>
      <c r="J153" s="521">
        <f t="shared" si="17"/>
        <v>2.3679999999999999</v>
      </c>
      <c r="K153" s="188" t="s">
        <v>57</v>
      </c>
      <c r="L153" s="185"/>
      <c r="M153" s="185"/>
      <c r="N153" s="5"/>
      <c r="O153" s="5"/>
      <c r="P153" s="5"/>
      <c r="Q153" s="5"/>
      <c r="R153" s="5"/>
      <c r="S153" s="5"/>
      <c r="T153" s="5"/>
      <c r="U153" s="5"/>
    </row>
    <row r="154" spans="1:26" ht="13.8" thickBot="1" x14ac:dyDescent="0.3">
      <c r="B154" s="182"/>
      <c r="C154" s="182" t="s">
        <v>286</v>
      </c>
      <c r="D154" s="185"/>
      <c r="E154" s="188"/>
      <c r="F154" s="74"/>
      <c r="G154" s="184"/>
      <c r="H154" s="74"/>
      <c r="I154" s="188"/>
      <c r="J154" s="521">
        <f t="shared" si="17"/>
        <v>0</v>
      </c>
      <c r="K154" s="188" t="s">
        <v>57</v>
      </c>
      <c r="L154" s="185"/>
      <c r="M154" s="185"/>
      <c r="Y154" s="5"/>
      <c r="Z154" s="5"/>
    </row>
    <row r="155" spans="1:26" ht="13.8" thickBot="1" x14ac:dyDescent="0.3">
      <c r="B155" s="185"/>
      <c r="C155" s="182" t="s">
        <v>286</v>
      </c>
      <c r="D155" s="185"/>
      <c r="E155" s="185"/>
      <c r="F155" s="74"/>
      <c r="G155" s="185"/>
      <c r="H155" s="74"/>
      <c r="I155" s="185"/>
      <c r="J155" s="521">
        <f t="shared" si="17"/>
        <v>0</v>
      </c>
      <c r="K155" s="188" t="s">
        <v>57</v>
      </c>
      <c r="L155" s="185"/>
      <c r="M155" s="185"/>
    </row>
    <row r="156" spans="1:26" x14ac:dyDescent="0.25">
      <c r="B156" s="207"/>
      <c r="C156" s="207" t="s">
        <v>54</v>
      </c>
      <c r="D156" s="207"/>
      <c r="E156" s="207"/>
      <c r="F156" s="207"/>
      <c r="G156" s="207"/>
      <c r="H156" s="207"/>
      <c r="I156" s="207"/>
      <c r="J156" s="522">
        <f>SUM(J149:J155)</f>
        <v>1090.2079999999999</v>
      </c>
      <c r="K156" s="208" t="s">
        <v>57</v>
      </c>
      <c r="L156" s="207"/>
      <c r="M156" s="207"/>
    </row>
    <row r="157" spans="1:26" x14ac:dyDescent="0.25">
      <c r="B157" s="185"/>
      <c r="C157" s="185"/>
      <c r="D157" s="185"/>
      <c r="E157" s="185"/>
      <c r="F157" s="185"/>
      <c r="G157" s="185"/>
      <c r="H157" s="185"/>
      <c r="I157" s="185"/>
      <c r="J157" s="185"/>
      <c r="K157" s="185"/>
      <c r="L157" s="185"/>
      <c r="M157" s="185"/>
    </row>
    <row r="158" spans="1:26" x14ac:dyDescent="0.25">
      <c r="B158" s="116"/>
      <c r="C158" s="116"/>
      <c r="D158" s="116"/>
      <c r="E158" s="116"/>
      <c r="F158" s="116"/>
      <c r="G158" s="116"/>
      <c r="H158" s="116"/>
      <c r="I158" s="116"/>
      <c r="J158" s="116"/>
      <c r="K158" s="116"/>
      <c r="L158" s="116"/>
      <c r="M158" s="116"/>
    </row>
    <row r="159" spans="1:26" ht="15.6" x14ac:dyDescent="0.3">
      <c r="B159" s="88" t="s">
        <v>714</v>
      </c>
      <c r="C159" s="79"/>
      <c r="D159" s="79"/>
      <c r="E159" s="79"/>
      <c r="F159" s="79"/>
      <c r="G159" s="79"/>
      <c r="H159" s="79"/>
      <c r="I159" s="79"/>
      <c r="J159" s="79"/>
      <c r="K159" s="79"/>
      <c r="L159" s="79"/>
      <c r="M159" s="79"/>
    </row>
    <row r="160" spans="1:26" s="5" customFormat="1" ht="15.6" x14ac:dyDescent="0.3">
      <c r="A160" s="322"/>
      <c r="B160" s="88"/>
      <c r="C160" s="79"/>
      <c r="D160" s="79"/>
      <c r="E160" s="79"/>
      <c r="F160" s="79"/>
      <c r="G160" s="79"/>
      <c r="H160" s="79"/>
      <c r="I160" s="79"/>
      <c r="J160" s="79"/>
      <c r="K160" s="79"/>
      <c r="L160" s="79"/>
      <c r="M160" s="79"/>
      <c r="N160"/>
      <c r="O160"/>
      <c r="P160"/>
      <c r="Q160"/>
      <c r="R160"/>
      <c r="S160"/>
      <c r="T160"/>
      <c r="U160"/>
      <c r="Y160"/>
      <c r="Z160"/>
    </row>
    <row r="161" spans="1:26" ht="15" customHeight="1" x14ac:dyDescent="0.25">
      <c r="B161" s="1096" t="s">
        <v>699</v>
      </c>
      <c r="C161" s="1096"/>
      <c r="D161" s="1096"/>
      <c r="E161" s="1096"/>
      <c r="F161" s="1096"/>
      <c r="G161" s="1096"/>
      <c r="H161" s="1096"/>
      <c r="I161" s="1096"/>
      <c r="J161" s="1096"/>
      <c r="K161" s="1096"/>
      <c r="L161" s="1096"/>
      <c r="M161" s="1096"/>
      <c r="N161" s="5"/>
      <c r="O161" s="5"/>
      <c r="P161" s="5"/>
      <c r="Q161" s="5"/>
      <c r="R161" s="5"/>
      <c r="S161" s="5"/>
      <c r="T161" s="5"/>
      <c r="U161" s="5"/>
    </row>
    <row r="162" spans="1:26" ht="15.6" x14ac:dyDescent="0.3">
      <c r="B162" s="88"/>
      <c r="C162" s="79"/>
      <c r="D162" s="79"/>
      <c r="E162" s="83"/>
      <c r="F162" s="83"/>
      <c r="G162" s="83"/>
      <c r="H162" s="84"/>
      <c r="I162" s="84"/>
      <c r="J162" s="83"/>
      <c r="K162" s="83"/>
      <c r="L162" s="84"/>
      <c r="M162" s="84"/>
      <c r="Y162" s="5"/>
      <c r="Z162" s="5"/>
    </row>
    <row r="163" spans="1:26" ht="15.6" x14ac:dyDescent="0.3">
      <c r="B163" s="88"/>
      <c r="C163" s="79"/>
      <c r="D163" s="79"/>
      <c r="E163" s="1069" t="s">
        <v>290</v>
      </c>
      <c r="F163" s="1069"/>
      <c r="G163" s="1069"/>
      <c r="H163" s="1070" t="s">
        <v>113</v>
      </c>
      <c r="I163" s="1070"/>
      <c r="J163" s="1069" t="s">
        <v>291</v>
      </c>
      <c r="K163" s="1069"/>
      <c r="L163" s="1070" t="s">
        <v>113</v>
      </c>
      <c r="M163" s="1070"/>
    </row>
    <row r="164" spans="1:26" ht="15.6" thickBot="1" x14ac:dyDescent="0.3">
      <c r="B164" s="78"/>
      <c r="C164" s="79"/>
      <c r="D164" s="79"/>
      <c r="E164" s="79"/>
      <c r="F164" s="79"/>
      <c r="G164" s="79"/>
      <c r="H164" s="79"/>
      <c r="I164" s="79"/>
      <c r="J164" s="79"/>
      <c r="K164" s="79"/>
      <c r="L164" s="79"/>
      <c r="M164" s="79"/>
    </row>
    <row r="165" spans="1:26" ht="13.8" thickBot="1" x14ac:dyDescent="0.3">
      <c r="B165" s="79"/>
      <c r="C165" s="80" t="s">
        <v>654</v>
      </c>
      <c r="D165" s="79"/>
      <c r="E165" s="79"/>
      <c r="F165" s="91">
        <v>10</v>
      </c>
      <c r="G165" s="82" t="s">
        <v>293</v>
      </c>
      <c r="H165" s="93">
        <v>14.5</v>
      </c>
      <c r="I165" s="82" t="s">
        <v>294</v>
      </c>
      <c r="J165" s="92"/>
      <c r="K165" s="82" t="s">
        <v>293</v>
      </c>
      <c r="L165" s="93">
        <v>14.5</v>
      </c>
      <c r="M165" s="82" t="s">
        <v>294</v>
      </c>
    </row>
    <row r="166" spans="1:26" ht="13.8" thickBot="1" x14ac:dyDescent="0.3">
      <c r="B166" s="79"/>
      <c r="C166" s="80" t="s">
        <v>655</v>
      </c>
      <c r="D166" s="79"/>
      <c r="E166" s="79"/>
      <c r="F166" s="91">
        <v>10</v>
      </c>
      <c r="G166" s="82" t="s">
        <v>293</v>
      </c>
      <c r="H166" s="90">
        <f>$H$165</f>
        <v>14.5</v>
      </c>
      <c r="I166" s="82" t="s">
        <v>294</v>
      </c>
      <c r="J166" s="92"/>
      <c r="K166" s="82" t="s">
        <v>293</v>
      </c>
      <c r="L166" s="90">
        <f>$L$165</f>
        <v>14.5</v>
      </c>
      <c r="M166" s="82" t="s">
        <v>294</v>
      </c>
    </row>
    <row r="167" spans="1:26" ht="13.8" thickBot="1" x14ac:dyDescent="0.3">
      <c r="B167" s="79"/>
      <c r="C167" s="80" t="s">
        <v>715</v>
      </c>
      <c r="D167" s="79"/>
      <c r="E167" s="79"/>
      <c r="F167" s="91">
        <v>8</v>
      </c>
      <c r="G167" s="82" t="s">
        <v>293</v>
      </c>
      <c r="H167" s="90">
        <f t="shared" ref="H167:H168" si="18">$H$165</f>
        <v>14.5</v>
      </c>
      <c r="I167" s="82" t="s">
        <v>294</v>
      </c>
      <c r="J167" s="92"/>
      <c r="K167" s="82" t="s">
        <v>293</v>
      </c>
      <c r="L167" s="90">
        <f t="shared" ref="L167:L168" si="19">$L$165</f>
        <v>14.5</v>
      </c>
      <c r="M167" s="82" t="s">
        <v>294</v>
      </c>
    </row>
    <row r="168" spans="1:26" ht="13.8" thickBot="1" x14ac:dyDescent="0.3">
      <c r="B168" s="79"/>
      <c r="C168" s="80" t="s">
        <v>298</v>
      </c>
      <c r="D168" s="79"/>
      <c r="E168" s="79"/>
      <c r="F168" s="91">
        <v>15</v>
      </c>
      <c r="G168" s="82" t="s">
        <v>293</v>
      </c>
      <c r="H168" s="90">
        <f t="shared" si="18"/>
        <v>14.5</v>
      </c>
      <c r="I168" s="82" t="s">
        <v>294</v>
      </c>
      <c r="J168" s="92"/>
      <c r="K168" s="82" t="s">
        <v>293</v>
      </c>
      <c r="L168" s="90">
        <f t="shared" si="19"/>
        <v>14.5</v>
      </c>
      <c r="M168" s="82" t="s">
        <v>294</v>
      </c>
    </row>
    <row r="169" spans="1:26" ht="13.8" thickBot="1" x14ac:dyDescent="0.3">
      <c r="B169" s="79"/>
      <c r="C169" s="80" t="s">
        <v>569</v>
      </c>
      <c r="D169" s="79"/>
      <c r="E169" s="79"/>
      <c r="F169" s="91">
        <v>5</v>
      </c>
      <c r="G169" s="82" t="s">
        <v>293</v>
      </c>
      <c r="H169" s="90">
        <f>H165</f>
        <v>14.5</v>
      </c>
      <c r="I169" s="82" t="s">
        <v>294</v>
      </c>
      <c r="J169" s="92">
        <v>10</v>
      </c>
      <c r="K169" s="82" t="s">
        <v>293</v>
      </c>
      <c r="L169" s="90">
        <f>$L$165</f>
        <v>14.5</v>
      </c>
      <c r="M169" s="82" t="s">
        <v>294</v>
      </c>
    </row>
    <row r="170" spans="1:26" ht="13.8" thickBot="1" x14ac:dyDescent="0.3">
      <c r="B170" s="79"/>
      <c r="C170" s="80" t="s">
        <v>303</v>
      </c>
      <c r="D170" s="79"/>
      <c r="E170" s="79"/>
      <c r="F170" s="91">
        <v>4</v>
      </c>
      <c r="G170" s="82" t="s">
        <v>293</v>
      </c>
      <c r="H170" s="90">
        <f>H169</f>
        <v>14.5</v>
      </c>
      <c r="I170" s="82" t="s">
        <v>294</v>
      </c>
      <c r="J170" s="92"/>
      <c r="K170" s="82" t="s">
        <v>293</v>
      </c>
      <c r="L170" s="90">
        <f>$L$165</f>
        <v>14.5</v>
      </c>
      <c r="M170" s="82" t="s">
        <v>294</v>
      </c>
    </row>
    <row r="171" spans="1:26" s="5" customFormat="1" ht="13.8" thickBot="1" x14ac:dyDescent="0.3">
      <c r="A171" s="322"/>
      <c r="B171" s="79"/>
      <c r="C171" s="80" t="s">
        <v>38</v>
      </c>
      <c r="D171" s="79"/>
      <c r="E171" s="79"/>
      <c r="F171" s="91"/>
      <c r="G171" s="82" t="s">
        <v>212</v>
      </c>
      <c r="H171" s="91"/>
      <c r="I171" s="82" t="s">
        <v>206</v>
      </c>
      <c r="J171" s="91">
        <f>'Gårdens info'!S33</f>
        <v>4500</v>
      </c>
      <c r="K171" s="82" t="s">
        <v>8</v>
      </c>
      <c r="L171" s="91">
        <v>4</v>
      </c>
      <c r="M171" s="82" t="s">
        <v>206</v>
      </c>
      <c r="N171"/>
      <c r="O171"/>
      <c r="P171"/>
      <c r="Q171"/>
      <c r="R171"/>
      <c r="S171"/>
      <c r="T171"/>
      <c r="U171"/>
      <c r="Y171"/>
      <c r="Z171"/>
    </row>
    <row r="172" spans="1:26" ht="13.8" thickBot="1" x14ac:dyDescent="0.3">
      <c r="B172" s="79"/>
      <c r="C172" s="80" t="s">
        <v>38</v>
      </c>
      <c r="D172" s="79"/>
      <c r="E172" s="79"/>
      <c r="F172" s="91">
        <v>20</v>
      </c>
      <c r="G172" s="82" t="s">
        <v>293</v>
      </c>
      <c r="H172" s="90">
        <f>$H$165</f>
        <v>14.5</v>
      </c>
      <c r="I172" s="82" t="s">
        <v>294</v>
      </c>
      <c r="J172" s="92"/>
      <c r="K172" s="82" t="s">
        <v>293</v>
      </c>
      <c r="L172" s="90">
        <f>$L$165</f>
        <v>14.5</v>
      </c>
      <c r="M172" s="82" t="s">
        <v>294</v>
      </c>
      <c r="N172" s="5"/>
      <c r="O172" s="5"/>
      <c r="P172" s="5"/>
      <c r="Q172" s="5"/>
      <c r="R172" s="5"/>
      <c r="S172" s="5"/>
      <c r="T172" s="5"/>
      <c r="U172" s="5"/>
    </row>
    <row r="173" spans="1:26" ht="13.8" thickBot="1" x14ac:dyDescent="0.3">
      <c r="B173" s="79"/>
      <c r="C173" s="80" t="s">
        <v>689</v>
      </c>
      <c r="D173" s="79"/>
      <c r="E173" s="79"/>
      <c r="F173" s="91">
        <v>10</v>
      </c>
      <c r="G173" s="82" t="s">
        <v>293</v>
      </c>
      <c r="H173" s="90">
        <f t="shared" ref="H173:H181" si="20">$H$165</f>
        <v>14.5</v>
      </c>
      <c r="I173" s="82" t="s">
        <v>294</v>
      </c>
      <c r="J173" s="92">
        <v>30</v>
      </c>
      <c r="K173" s="82" t="s">
        <v>293</v>
      </c>
      <c r="L173" s="90">
        <f t="shared" ref="L173:L181" si="21">$L$165</f>
        <v>14.5</v>
      </c>
      <c r="M173" s="82" t="s">
        <v>294</v>
      </c>
      <c r="Y173" s="5"/>
      <c r="Z173" s="5"/>
    </row>
    <row r="174" spans="1:26" ht="13.8" thickBot="1" x14ac:dyDescent="0.3">
      <c r="B174" s="79"/>
      <c r="C174" s="80" t="s">
        <v>690</v>
      </c>
      <c r="D174" s="79"/>
      <c r="E174" s="79"/>
      <c r="F174" s="91">
        <v>4</v>
      </c>
      <c r="G174" s="82" t="s">
        <v>293</v>
      </c>
      <c r="H174" s="90">
        <f t="shared" si="20"/>
        <v>14.5</v>
      </c>
      <c r="I174" s="82" t="s">
        <v>294</v>
      </c>
      <c r="J174" s="92"/>
      <c r="K174" s="82" t="s">
        <v>293</v>
      </c>
      <c r="L174" s="90">
        <f t="shared" si="21"/>
        <v>14.5</v>
      </c>
      <c r="M174" s="82" t="s">
        <v>294</v>
      </c>
    </row>
    <row r="175" spans="1:26" ht="13.8" thickBot="1" x14ac:dyDescent="0.3">
      <c r="B175" s="79"/>
      <c r="C175" s="80" t="s">
        <v>691</v>
      </c>
      <c r="D175" s="79"/>
      <c r="E175" s="79"/>
      <c r="F175" s="91">
        <v>10</v>
      </c>
      <c r="G175" s="82" t="s">
        <v>293</v>
      </c>
      <c r="H175" s="90">
        <f t="shared" si="20"/>
        <v>14.5</v>
      </c>
      <c r="I175" s="82" t="s">
        <v>294</v>
      </c>
      <c r="J175" s="92"/>
      <c r="K175" s="82" t="s">
        <v>293</v>
      </c>
      <c r="L175" s="90">
        <f t="shared" si="21"/>
        <v>14.5</v>
      </c>
      <c r="M175" s="82" t="s">
        <v>294</v>
      </c>
    </row>
    <row r="176" spans="1:26" ht="13.8" thickBot="1" x14ac:dyDescent="0.3">
      <c r="B176" s="79"/>
      <c r="C176" s="80" t="s">
        <v>503</v>
      </c>
      <c r="D176" s="79"/>
      <c r="E176" s="79"/>
      <c r="F176" s="92">
        <v>20</v>
      </c>
      <c r="G176" s="82" t="s">
        <v>293</v>
      </c>
      <c r="H176" s="90">
        <f t="shared" si="20"/>
        <v>14.5</v>
      </c>
      <c r="I176" s="82" t="s">
        <v>294</v>
      </c>
      <c r="J176" s="92"/>
      <c r="K176" s="82" t="s">
        <v>293</v>
      </c>
      <c r="L176" s="90">
        <f t="shared" si="21"/>
        <v>14.5</v>
      </c>
      <c r="M176" s="82" t="s">
        <v>294</v>
      </c>
    </row>
    <row r="177" spans="1:26" ht="13.8" thickBot="1" x14ac:dyDescent="0.3">
      <c r="B177" s="79"/>
      <c r="C177" s="80" t="s">
        <v>692</v>
      </c>
      <c r="D177" s="79"/>
      <c r="E177" s="79"/>
      <c r="F177" s="92">
        <v>40</v>
      </c>
      <c r="G177" s="82" t="s">
        <v>293</v>
      </c>
      <c r="H177" s="90">
        <f t="shared" si="20"/>
        <v>14.5</v>
      </c>
      <c r="I177" s="82" t="s">
        <v>294</v>
      </c>
      <c r="J177" s="92">
        <v>40</v>
      </c>
      <c r="K177" s="82" t="s">
        <v>293</v>
      </c>
      <c r="L177" s="90">
        <f t="shared" si="21"/>
        <v>14.5</v>
      </c>
      <c r="M177" s="82" t="s">
        <v>294</v>
      </c>
    </row>
    <row r="178" spans="1:26" ht="13.8" thickBot="1" x14ac:dyDescent="0.3">
      <c r="B178" s="79"/>
      <c r="C178" s="80" t="s">
        <v>693</v>
      </c>
      <c r="D178" s="79"/>
      <c r="E178" s="79"/>
      <c r="F178" s="92">
        <v>20</v>
      </c>
      <c r="G178" s="82" t="s">
        <v>293</v>
      </c>
      <c r="H178" s="90">
        <f t="shared" si="20"/>
        <v>14.5</v>
      </c>
      <c r="I178" s="82" t="s">
        <v>294</v>
      </c>
      <c r="J178" s="92"/>
      <c r="K178" s="82" t="s">
        <v>293</v>
      </c>
      <c r="L178" s="90">
        <f t="shared" si="21"/>
        <v>14.5</v>
      </c>
      <c r="M178" s="82" t="s">
        <v>294</v>
      </c>
    </row>
    <row r="179" spans="1:26" ht="13.8" thickBot="1" x14ac:dyDescent="0.3">
      <c r="B179" s="79"/>
      <c r="C179" s="80" t="s">
        <v>431</v>
      </c>
      <c r="D179" s="79"/>
      <c r="E179" s="79"/>
      <c r="F179" s="92"/>
      <c r="G179" s="82" t="s">
        <v>293</v>
      </c>
      <c r="H179" s="90">
        <f t="shared" si="20"/>
        <v>14.5</v>
      </c>
      <c r="I179" s="82" t="s">
        <v>294</v>
      </c>
      <c r="J179" s="75"/>
      <c r="K179" s="82" t="s">
        <v>293</v>
      </c>
      <c r="L179" s="90">
        <f t="shared" si="21"/>
        <v>14.5</v>
      </c>
      <c r="M179" s="82" t="s">
        <v>294</v>
      </c>
    </row>
    <row r="180" spans="1:26" ht="13.8" thickBot="1" x14ac:dyDescent="0.3">
      <c r="B180" s="79"/>
      <c r="C180" s="80" t="s">
        <v>431</v>
      </c>
      <c r="D180" s="79"/>
      <c r="E180" s="79"/>
      <c r="F180" s="92"/>
      <c r="G180" s="82" t="s">
        <v>293</v>
      </c>
      <c r="H180" s="90">
        <f t="shared" si="20"/>
        <v>14.5</v>
      </c>
      <c r="I180" s="82" t="s">
        <v>294</v>
      </c>
      <c r="J180" s="75"/>
      <c r="K180" s="82" t="s">
        <v>293</v>
      </c>
      <c r="L180" s="90">
        <f t="shared" si="21"/>
        <v>14.5</v>
      </c>
      <c r="M180" s="82" t="s">
        <v>294</v>
      </c>
    </row>
    <row r="181" spans="1:26" ht="13.8" thickBot="1" x14ac:dyDescent="0.3">
      <c r="B181" s="79"/>
      <c r="C181" s="80" t="s">
        <v>431</v>
      </c>
      <c r="D181" s="81"/>
      <c r="E181" s="81"/>
      <c r="F181" s="75"/>
      <c r="G181" s="82" t="s">
        <v>293</v>
      </c>
      <c r="H181" s="90">
        <f t="shared" si="20"/>
        <v>14.5</v>
      </c>
      <c r="I181" s="82" t="s">
        <v>294</v>
      </c>
      <c r="J181" s="75"/>
      <c r="K181" s="82" t="s">
        <v>293</v>
      </c>
      <c r="L181" s="90">
        <f t="shared" si="21"/>
        <v>14.5</v>
      </c>
      <c r="M181" s="82" t="s">
        <v>294</v>
      </c>
    </row>
    <row r="182" spans="1:26" x14ac:dyDescent="0.25">
      <c r="B182" s="209"/>
      <c r="C182" s="210" t="s">
        <v>54</v>
      </c>
      <c r="D182" s="211"/>
      <c r="E182" s="211"/>
      <c r="F182" s="212">
        <f>SUM(F165:F170)+SUM(F172:F181)</f>
        <v>176</v>
      </c>
      <c r="G182" s="209" t="s">
        <v>293</v>
      </c>
      <c r="H182" s="90">
        <f>F182*H165+F171*H171</f>
        <v>2552</v>
      </c>
      <c r="I182" s="209" t="s">
        <v>57</v>
      </c>
      <c r="J182" s="212">
        <f>SUM(J165:J170,J172:J181)</f>
        <v>80</v>
      </c>
      <c r="K182" s="209" t="s">
        <v>293</v>
      </c>
      <c r="L182" s="90">
        <f>J182*L165+J171*L171</f>
        <v>19160</v>
      </c>
      <c r="M182" s="209" t="s">
        <v>57</v>
      </c>
    </row>
    <row r="183" spans="1:26" s="5" customFormat="1" x14ac:dyDescent="0.25">
      <c r="A183" s="322"/>
      <c r="B183" s="116"/>
      <c r="C183" s="116"/>
      <c r="D183" s="116"/>
      <c r="E183" s="116"/>
      <c r="F183" s="116"/>
      <c r="G183" s="116"/>
      <c r="H183" s="116"/>
      <c r="I183" s="116"/>
      <c r="J183" s="116"/>
      <c r="K183" s="116"/>
      <c r="L183" s="116"/>
      <c r="M183" s="116"/>
      <c r="N183"/>
      <c r="O183"/>
      <c r="P183"/>
      <c r="Q183"/>
      <c r="R183"/>
      <c r="S183"/>
      <c r="T183"/>
      <c r="U183"/>
      <c r="Y183"/>
      <c r="Z183"/>
    </row>
    <row r="184" spans="1:26" x14ac:dyDescent="0.25">
      <c r="N184" s="5"/>
      <c r="O184" s="5"/>
      <c r="P184" s="5"/>
      <c r="Q184" s="5"/>
      <c r="R184" s="5"/>
      <c r="S184" s="5"/>
      <c r="T184" s="5"/>
      <c r="U184" s="5"/>
    </row>
    <row r="185" spans="1:26" x14ac:dyDescent="0.25">
      <c r="Y185" s="5"/>
      <c r="Z185" s="5"/>
    </row>
    <row r="195" spans="1:26" ht="39" customHeight="1" x14ac:dyDescent="0.25"/>
    <row r="206" spans="1:26" s="5" customFormat="1" x14ac:dyDescent="0.25">
      <c r="A206" s="322"/>
      <c r="B206"/>
      <c r="C206"/>
      <c r="D206"/>
      <c r="E206"/>
      <c r="F206"/>
      <c r="G206"/>
      <c r="H206"/>
      <c r="I206"/>
      <c r="J206"/>
      <c r="K206"/>
      <c r="L206"/>
      <c r="M206"/>
      <c r="N206"/>
      <c r="O206"/>
      <c r="P206"/>
      <c r="Q206"/>
      <c r="R206"/>
      <c r="S206"/>
      <c r="T206"/>
      <c r="U206"/>
      <c r="Y206"/>
      <c r="Z206"/>
    </row>
    <row r="207" spans="1:26" x14ac:dyDescent="0.25">
      <c r="N207" s="5"/>
      <c r="O207" s="5"/>
      <c r="P207" s="5"/>
      <c r="Q207" s="5"/>
      <c r="R207" s="5"/>
      <c r="S207" s="5"/>
      <c r="T207" s="5"/>
      <c r="U207" s="5"/>
    </row>
    <row r="208" spans="1:26" x14ac:dyDescent="0.25">
      <c r="Y208" s="5"/>
      <c r="Z208" s="5"/>
    </row>
    <row r="210" spans="1:26" s="69" customFormat="1" ht="15" x14ac:dyDescent="0.25">
      <c r="A210" s="324"/>
      <c r="B210"/>
      <c r="C210"/>
      <c r="D210"/>
      <c r="E210"/>
      <c r="F210"/>
      <c r="G210"/>
      <c r="H210"/>
      <c r="I210"/>
      <c r="J210"/>
      <c r="K210"/>
      <c r="L210"/>
      <c r="M210"/>
      <c r="N210"/>
      <c r="O210"/>
      <c r="P210"/>
      <c r="Q210"/>
      <c r="R210"/>
      <c r="S210"/>
      <c r="T210"/>
      <c r="U210"/>
      <c r="Y210"/>
      <c r="Z210"/>
    </row>
    <row r="211" spans="1:26" ht="31.2" customHeight="1" x14ac:dyDescent="0.25">
      <c r="N211" s="69"/>
      <c r="O211" s="69"/>
      <c r="P211" s="69"/>
      <c r="Q211" s="69"/>
      <c r="R211" s="69"/>
      <c r="S211" s="69"/>
      <c r="T211" s="69"/>
      <c r="U211" s="69"/>
    </row>
    <row r="212" spans="1:26" ht="15" x14ac:dyDescent="0.25">
      <c r="Y212" s="69"/>
      <c r="Z212" s="69"/>
    </row>
    <row r="223" spans="1:26" s="5" customFormat="1" x14ac:dyDescent="0.25">
      <c r="A223" s="322"/>
      <c r="B223"/>
      <c r="C223"/>
      <c r="D223"/>
      <c r="E223"/>
      <c r="F223"/>
      <c r="G223"/>
      <c r="H223"/>
      <c r="I223"/>
      <c r="J223"/>
      <c r="K223"/>
      <c r="L223"/>
      <c r="M223"/>
      <c r="N223"/>
      <c r="O223"/>
      <c r="P223"/>
      <c r="Q223"/>
      <c r="R223"/>
      <c r="S223"/>
      <c r="T223"/>
      <c r="U223"/>
      <c r="Y223"/>
      <c r="Z223"/>
    </row>
    <row r="224" spans="1:26" x14ac:dyDescent="0.25">
      <c r="A224" s="327"/>
      <c r="N224" s="5"/>
      <c r="O224" s="5"/>
      <c r="P224" s="5"/>
      <c r="Q224" s="5"/>
      <c r="R224" s="5"/>
      <c r="S224" s="5"/>
      <c r="T224" s="5"/>
      <c r="U224" s="5"/>
    </row>
    <row r="225" spans="1:26" x14ac:dyDescent="0.25">
      <c r="A225" s="327"/>
      <c r="Y225" s="5"/>
      <c r="Z225" s="5"/>
    </row>
    <row r="231" spans="1:26" s="5" customFormat="1" x14ac:dyDescent="0.25">
      <c r="A231" s="322"/>
      <c r="B231"/>
      <c r="C231"/>
      <c r="D231"/>
      <c r="E231"/>
      <c r="F231"/>
      <c r="G231"/>
      <c r="H231"/>
      <c r="I231"/>
      <c r="J231"/>
      <c r="K231"/>
      <c r="L231"/>
      <c r="M231"/>
      <c r="N231"/>
      <c r="O231"/>
      <c r="P231"/>
      <c r="Q231"/>
      <c r="R231"/>
      <c r="S231"/>
      <c r="T231"/>
      <c r="U231"/>
      <c r="Y231"/>
      <c r="Z231"/>
    </row>
    <row r="232" spans="1:26" x14ac:dyDescent="0.25">
      <c r="N232" s="5"/>
      <c r="O232" s="5"/>
      <c r="P232" s="5"/>
      <c r="Q232" s="5"/>
      <c r="R232" s="5"/>
      <c r="S232" s="5"/>
      <c r="T232" s="5"/>
      <c r="U232" s="5"/>
    </row>
    <row r="233" spans="1:26" ht="33" customHeight="1" x14ac:dyDescent="0.25">
      <c r="Y233" s="5"/>
      <c r="Z233" s="5"/>
    </row>
    <row r="244" spans="1:26" s="5" customFormat="1" x14ac:dyDescent="0.25">
      <c r="A244" s="322"/>
      <c r="B244"/>
      <c r="C244"/>
      <c r="D244"/>
      <c r="E244"/>
      <c r="F244"/>
      <c r="G244"/>
      <c r="H244"/>
      <c r="I244"/>
      <c r="J244"/>
      <c r="K244"/>
      <c r="L244"/>
      <c r="M244"/>
      <c r="N244"/>
      <c r="O244"/>
      <c r="P244"/>
      <c r="Q244"/>
      <c r="R244"/>
      <c r="S244"/>
      <c r="T244"/>
      <c r="U244"/>
      <c r="Y244"/>
      <c r="Z244"/>
    </row>
    <row r="245" spans="1:26" x14ac:dyDescent="0.25">
      <c r="N245" s="5"/>
      <c r="O245" s="5"/>
      <c r="P245" s="5"/>
      <c r="Q245" s="5"/>
      <c r="R245" s="5"/>
      <c r="S245" s="5"/>
      <c r="T245" s="5"/>
      <c r="U245" s="5"/>
    </row>
    <row r="246" spans="1:26" ht="40.200000000000003" customHeight="1" x14ac:dyDescent="0.25">
      <c r="Y246" s="5"/>
      <c r="Z246" s="5"/>
    </row>
    <row r="249" spans="1:26" ht="37.950000000000003" customHeight="1" x14ac:dyDescent="0.25"/>
    <row r="257" spans="1:26" s="5" customFormat="1" x14ac:dyDescent="0.25">
      <c r="A257" s="322"/>
      <c r="B257"/>
      <c r="C257"/>
      <c r="D257"/>
      <c r="E257"/>
      <c r="F257"/>
      <c r="G257"/>
      <c r="H257"/>
      <c r="I257"/>
      <c r="J257"/>
      <c r="K257"/>
      <c r="L257"/>
      <c r="M257"/>
      <c r="N257"/>
      <c r="O257"/>
      <c r="P257"/>
      <c r="Q257"/>
      <c r="R257"/>
      <c r="S257"/>
      <c r="T257"/>
      <c r="U257"/>
      <c r="Y257"/>
      <c r="Z257"/>
    </row>
    <row r="258" spans="1:26" x14ac:dyDescent="0.25">
      <c r="N258" s="5"/>
      <c r="O258" s="5"/>
      <c r="P258" s="5"/>
      <c r="Q258" s="5"/>
      <c r="R258" s="5"/>
      <c r="S258" s="5"/>
      <c r="T258" s="5"/>
      <c r="U258" s="5"/>
    </row>
    <row r="259" spans="1:26" x14ac:dyDescent="0.25">
      <c r="Y259" s="5"/>
      <c r="Z259" s="5"/>
    </row>
  </sheetData>
  <mergeCells count="48">
    <mergeCell ref="T9:U9"/>
    <mergeCell ref="O18:Q18"/>
    <mergeCell ref="B67:D67"/>
    <mergeCell ref="B31:C31"/>
    <mergeCell ref="C34:D34"/>
    <mergeCell ref="B38:D38"/>
    <mergeCell ref="C41:D41"/>
    <mergeCell ref="B45:D45"/>
    <mergeCell ref="C48:D48"/>
    <mergeCell ref="B52:C52"/>
    <mergeCell ref="C55:D55"/>
    <mergeCell ref="B57:D57"/>
    <mergeCell ref="Q9:S9"/>
    <mergeCell ref="B63:D63"/>
    <mergeCell ref="B2:C2"/>
    <mergeCell ref="B4:L4"/>
    <mergeCell ref="B11:D11"/>
    <mergeCell ref="B26:E26"/>
    <mergeCell ref="B28:D28"/>
    <mergeCell ref="B27:E27"/>
    <mergeCell ref="B161:M161"/>
    <mergeCell ref="E163:G163"/>
    <mergeCell ref="H163:I163"/>
    <mergeCell ref="J163:K163"/>
    <mergeCell ref="L163:M163"/>
    <mergeCell ref="F139:G139"/>
    <mergeCell ref="H139:I139"/>
    <mergeCell ref="J139:K139"/>
    <mergeCell ref="F110:G110"/>
    <mergeCell ref="H110:I110"/>
    <mergeCell ref="J110:K110"/>
    <mergeCell ref="F118:G118"/>
    <mergeCell ref="H118:I118"/>
    <mergeCell ref="J118:K118"/>
    <mergeCell ref="F131:G131"/>
    <mergeCell ref="H131:I131"/>
    <mergeCell ref="J131:K131"/>
    <mergeCell ref="F93:G93"/>
    <mergeCell ref="H93:I93"/>
    <mergeCell ref="J93:K93"/>
    <mergeCell ref="F79:G79"/>
    <mergeCell ref="H79:I79"/>
    <mergeCell ref="J79:K79"/>
    <mergeCell ref="F71:G71"/>
    <mergeCell ref="H71:I71"/>
    <mergeCell ref="J71:K71"/>
    <mergeCell ref="B65:D65"/>
    <mergeCell ref="B69:E69"/>
  </mergeCells>
  <hyperlinks>
    <hyperlink ref="B2" location="Tilakokonaisuus!A1" display="PALAA ETUSIVULLE" xr:uid="{441FB669-88E2-2F4D-819C-219197217303}"/>
    <hyperlink ref="B2:C2" location="'Gårdens info'!A1" display="PALAA ETUSIVULLE" xr:uid="{6C60EE27-1EB6-B349-B15F-4EBD3E9852DF}"/>
    <hyperlink ref="B14" location="'Hallon tunnel'!B169" display="ETABLERINGSÅRETS KOSTNADER" xr:uid="{4E509DFC-AE43-CC40-AA34-528D23D3B7E1}"/>
    <hyperlink ref="B26:E26" location="'Gårdens info'!C114" display="ALLMÄNNA, hallonens andel " xr:uid="{FA5B5353-78A1-024E-BC68-6DB0911F2734}"/>
    <hyperlink ref="B31:C31" location="Omaisuus!B15" display="RAKENNUKSET" xr:uid="{26F4D516-FEAA-A74B-81D4-B0D52D74AAFD}"/>
    <hyperlink ref="B38:D38" location="Omaisuus!B28" display="KONEET JA KALUSTO" xr:uid="{6850215D-30E0-464D-8439-E671339EE764}"/>
    <hyperlink ref="B45:D45" location="Omaisuus!B51" display="PIDEMPIAIKAISET TUOTANTOVÄLINEET" xr:uid="{0D75A96E-AFFB-1A4A-B90E-9D956EC4BDEB}"/>
    <hyperlink ref="B52:C52" location="Omaisuus!B70" display="SALAOJAT" xr:uid="{21A7CDA3-3C4B-1D4D-AE01-4E10BC203AAB}"/>
    <hyperlink ref="B60" location="'Hallon friland'!A252" display="SKÖRDEÅRENS KOSTNADER" xr:uid="{BDA12088-1A49-764C-98B3-9C616B7CA2CF}"/>
    <hyperlink ref="J69" location="'Hallon tunnel'!A1" display="TILL SIDANS BÖRJAN" xr:uid="{B4F20F74-D099-A345-875D-98869649FBCD}"/>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8BEBD-2CBF-8544-A3B2-AB6E4AFB7FBE}">
  <sheetPr>
    <tabColor theme="7" tint="0.39997558519241921"/>
  </sheetPr>
  <dimension ref="A1:Z399"/>
  <sheetViews>
    <sheetView zoomScale="66" zoomScaleNormal="100" workbookViewId="0">
      <selection activeCell="E392" sqref="E392"/>
    </sheetView>
  </sheetViews>
  <sheetFormatPr defaultColWidth="11.44140625" defaultRowHeight="13.2" x14ac:dyDescent="0.25"/>
  <cols>
    <col min="1" max="1" width="5.33203125" style="477" customWidth="1"/>
    <col min="3" max="3" width="16.6640625" customWidth="1"/>
    <col min="4" max="4" width="22.6640625" customWidth="1"/>
    <col min="5" max="5" width="12.109375" bestFit="1" customWidth="1"/>
    <col min="7" max="7" width="6.33203125" customWidth="1"/>
    <col min="9" max="9" width="6" customWidth="1"/>
    <col min="10" max="10" width="15.109375" customWidth="1"/>
    <col min="11" max="11" width="9.6640625" customWidth="1"/>
    <col min="12" max="12" width="20" customWidth="1"/>
    <col min="13" max="13" width="12.109375" customWidth="1"/>
    <col min="27" max="27" width="19" customWidth="1"/>
  </cols>
  <sheetData>
    <row r="1" spans="1:21" s="477" customFormat="1" ht="22.8" x14ac:dyDescent="0.4">
      <c r="B1" s="484" t="s">
        <v>43</v>
      </c>
    </row>
    <row r="2" spans="1:21" ht="27" customHeight="1" x14ac:dyDescent="0.3">
      <c r="B2" s="1094" t="s">
        <v>201</v>
      </c>
      <c r="C2" s="1094"/>
    </row>
    <row r="3" spans="1:21" ht="27" customHeight="1" x14ac:dyDescent="0.3">
      <c r="B3" s="189"/>
      <c r="C3" s="189"/>
    </row>
    <row r="4" spans="1:21" ht="139.94999999999999" customHeight="1" x14ac:dyDescent="0.3">
      <c r="B4" s="1098" t="s">
        <v>548</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716</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717</v>
      </c>
      <c r="C8" s="225"/>
      <c r="D8" s="116"/>
      <c r="E8" s="119"/>
      <c r="F8" s="119"/>
      <c r="G8" s="119"/>
      <c r="H8" s="119"/>
      <c r="I8" s="116"/>
      <c r="J8" s="116"/>
      <c r="K8" s="116"/>
      <c r="L8" s="116"/>
      <c r="M8" s="226"/>
      <c r="N8" s="257" t="s">
        <v>205</v>
      </c>
      <c r="O8" s="116"/>
      <c r="P8" s="116"/>
      <c r="Q8" s="116"/>
      <c r="R8" s="116"/>
      <c r="S8" s="116"/>
      <c r="T8" s="116"/>
      <c r="U8" s="239"/>
    </row>
    <row r="9" spans="1:21" ht="16.2" thickBot="1" x14ac:dyDescent="0.35">
      <c r="B9" s="227"/>
      <c r="C9" s="228" t="s">
        <v>205</v>
      </c>
      <c r="D9" s="119"/>
      <c r="E9" s="119"/>
      <c r="F9" s="229">
        <f>IF('Gårdens info'!D32&gt;0,H9*'Gårdens info'!G32,0)</f>
        <v>0</v>
      </c>
      <c r="G9" s="119" t="s">
        <v>57</v>
      </c>
      <c r="H9" s="508">
        <f>IF('Gårdens info'!G32&gt;0,(('Gårdens info'!G32*S10*T10)+('Gårdens info'!G32*S11*T11)+('Gårdens info'!G32*S12*T12)+('Gårdens info'!G32*S13*T13)+('Gårdens info'!G32*S14*T14)+('Gårdens info'!G32*S15*T15)+('Gårdens info'!G32*S16*T16)+('Gårdens info'!G32*S17*T17))/(('Gårdens info'!G32)),0)</f>
        <v>3.25</v>
      </c>
      <c r="I9" s="119" t="s">
        <v>206</v>
      </c>
      <c r="J9" s="229">
        <f>F9*'Gårdens info'!D32</f>
        <v>0</v>
      </c>
      <c r="K9" s="119" t="s">
        <v>718</v>
      </c>
      <c r="L9" s="119"/>
      <c r="M9" s="226"/>
      <c r="N9" s="369"/>
      <c r="O9" s="230" t="s">
        <v>208</v>
      </c>
      <c r="P9" s="230"/>
      <c r="Q9" s="1145" t="s">
        <v>209</v>
      </c>
      <c r="R9" s="1145"/>
      <c r="S9" s="1145"/>
      <c r="T9" s="1086" t="s">
        <v>210</v>
      </c>
      <c r="U9" s="1087"/>
    </row>
    <row r="10" spans="1:21" ht="15.6" thickBot="1" x14ac:dyDescent="0.3">
      <c r="B10" s="227"/>
      <c r="C10" s="119" t="s">
        <v>211</v>
      </c>
      <c r="D10" s="119"/>
      <c r="E10" s="119"/>
      <c r="F10" s="229">
        <f>IF('Gårdens info'!D32&gt;0,Stöd!L15,0)</f>
        <v>0</v>
      </c>
      <c r="G10" s="119" t="s">
        <v>57</v>
      </c>
      <c r="H10" s="508">
        <f>IF('Gårdens info'!G32&gt;0,F10/'Gårdens info'!G32,0)</f>
        <v>0</v>
      </c>
      <c r="I10" s="119" t="s">
        <v>206</v>
      </c>
      <c r="J10" s="229">
        <f>F10*'Gårdens info'!D32</f>
        <v>0</v>
      </c>
      <c r="K10" s="119" t="s">
        <v>718</v>
      </c>
      <c r="L10" s="119"/>
      <c r="M10" s="226"/>
      <c r="N10" s="369"/>
      <c r="O10" s="119">
        <v>1</v>
      </c>
      <c r="P10" s="119" t="s">
        <v>212</v>
      </c>
      <c r="Q10" s="119" t="s">
        <v>556</v>
      </c>
      <c r="R10" s="119"/>
      <c r="S10" s="377">
        <v>1</v>
      </c>
      <c r="T10" s="255">
        <v>3.25</v>
      </c>
      <c r="U10" s="239" t="s">
        <v>206</v>
      </c>
    </row>
    <row r="11" spans="1:21" s="5" customFormat="1" ht="21.6" customHeight="1" thickBot="1" x14ac:dyDescent="0.45">
      <c r="A11" s="478"/>
      <c r="B11" s="1061" t="s">
        <v>214</v>
      </c>
      <c r="C11" s="1043"/>
      <c r="D11" s="1043"/>
      <c r="E11" s="262"/>
      <c r="F11" s="266">
        <f>F9+F10</f>
        <v>0</v>
      </c>
      <c r="G11" s="267" t="s">
        <v>57</v>
      </c>
      <c r="H11" s="507">
        <f>H9+H10</f>
        <v>3.25</v>
      </c>
      <c r="I11" s="267" t="s">
        <v>206</v>
      </c>
      <c r="J11" s="269">
        <f>J9+J10</f>
        <v>0</v>
      </c>
      <c r="K11" s="267" t="s">
        <v>718</v>
      </c>
      <c r="L11" s="267"/>
      <c r="M11" s="259"/>
      <c r="N11" s="370"/>
      <c r="O11" s="119">
        <v>3</v>
      </c>
      <c r="P11" s="119" t="s">
        <v>212</v>
      </c>
      <c r="Q11" s="119" t="s">
        <v>558</v>
      </c>
      <c r="R11" s="119"/>
      <c r="S11" s="379">
        <v>0</v>
      </c>
      <c r="T11" s="255"/>
      <c r="U11" s="239" t="s">
        <v>206</v>
      </c>
    </row>
    <row r="12" spans="1:21" ht="22.2" customHeight="1" thickBot="1" x14ac:dyDescent="0.45">
      <c r="B12" s="288"/>
      <c r="C12" s="270"/>
      <c r="D12" s="270"/>
      <c r="E12" s="116"/>
      <c r="F12" s="116"/>
      <c r="G12" s="116"/>
      <c r="H12" s="116"/>
      <c r="I12" s="116"/>
      <c r="J12" s="232"/>
      <c r="K12" s="116"/>
      <c r="L12" s="116"/>
      <c r="M12" s="226"/>
      <c r="N12" s="370"/>
      <c r="O12" s="119">
        <v>5</v>
      </c>
      <c r="P12" s="119" t="s">
        <v>212</v>
      </c>
      <c r="Q12" s="119" t="s">
        <v>558</v>
      </c>
      <c r="R12" s="119"/>
      <c r="S12" s="379">
        <v>0</v>
      </c>
      <c r="T12" s="255"/>
      <c r="U12" s="239" t="s">
        <v>206</v>
      </c>
    </row>
    <row r="13" spans="1:21" ht="18" thickBot="1" x14ac:dyDescent="0.35">
      <c r="B13" s="231"/>
      <c r="C13" s="225"/>
      <c r="D13" s="116"/>
      <c r="E13" s="116"/>
      <c r="F13" s="116"/>
      <c r="G13" s="116"/>
      <c r="H13" s="116"/>
      <c r="I13" s="116"/>
      <c r="J13" s="232"/>
      <c r="K13" s="116"/>
      <c r="L13" s="116"/>
      <c r="M13" s="226"/>
      <c r="N13" s="369"/>
      <c r="O13" s="119">
        <v>0.5</v>
      </c>
      <c r="P13" s="119" t="s">
        <v>212</v>
      </c>
      <c r="Q13" s="119" t="s">
        <v>561</v>
      </c>
      <c r="R13" s="119"/>
      <c r="S13" s="379">
        <v>0</v>
      </c>
      <c r="T13" s="255"/>
      <c r="U13" s="239" t="s">
        <v>206</v>
      </c>
    </row>
    <row r="14" spans="1:21" s="56" customFormat="1" ht="21.6" thickBot="1" x14ac:dyDescent="0.45">
      <c r="A14" s="479"/>
      <c r="B14" s="257" t="s">
        <v>186</v>
      </c>
      <c r="C14" s="225"/>
      <c r="D14" s="116"/>
      <c r="E14" s="120"/>
      <c r="F14" s="120"/>
      <c r="G14" s="120"/>
      <c r="H14" s="120"/>
      <c r="I14" s="120"/>
      <c r="J14" s="233"/>
      <c r="K14" s="120"/>
      <c r="L14" s="120"/>
      <c r="M14" s="234"/>
      <c r="N14" s="369"/>
      <c r="O14" s="119">
        <v>0.25</v>
      </c>
      <c r="P14" s="119" t="s">
        <v>212</v>
      </c>
      <c r="Q14" s="119" t="s">
        <v>561</v>
      </c>
      <c r="R14" s="119"/>
      <c r="S14" s="379">
        <v>0</v>
      </c>
      <c r="T14" s="255"/>
      <c r="U14" s="239" t="s">
        <v>206</v>
      </c>
    </row>
    <row r="15" spans="1:21" s="69" customFormat="1" ht="15.6" thickBot="1" x14ac:dyDescent="0.3">
      <c r="A15" s="480"/>
      <c r="B15" s="235"/>
      <c r="C15" s="228" t="s">
        <v>566</v>
      </c>
      <c r="D15" s="236"/>
      <c r="E15" s="236"/>
      <c r="F15" s="237">
        <f>IF('Gårdens info'!D32&gt;0,J111/'Gårdens info'!I32,0)</f>
        <v>0</v>
      </c>
      <c r="G15" s="119" t="s">
        <v>57</v>
      </c>
      <c r="H15" s="503">
        <f>IF('Gårdens info'!$G$32&gt;0,F15/'Gårdens info'!$G$32,0)</f>
        <v>0</v>
      </c>
      <c r="I15" s="119" t="s">
        <v>206</v>
      </c>
      <c r="J15" s="237">
        <f>F15*'Gårdens info'!$D$32</f>
        <v>0</v>
      </c>
      <c r="K15" s="119" t="s">
        <v>718</v>
      </c>
      <c r="L15" s="236"/>
      <c r="M15" s="239"/>
      <c r="N15" s="369"/>
      <c r="O15" s="651">
        <f>D295</f>
        <v>0</v>
      </c>
      <c r="P15" s="119" t="s">
        <v>212</v>
      </c>
      <c r="Q15" s="298" t="s">
        <v>511</v>
      </c>
      <c r="R15" s="119"/>
      <c r="S15" s="379">
        <v>0</v>
      </c>
      <c r="T15" s="255"/>
      <c r="U15" s="239" t="s">
        <v>206</v>
      </c>
    </row>
    <row r="16" spans="1:21" s="69" customFormat="1" ht="15.6" thickBot="1" x14ac:dyDescent="0.3">
      <c r="A16" s="480"/>
      <c r="B16" s="235"/>
      <c r="C16" s="228" t="s">
        <v>219</v>
      </c>
      <c r="D16" s="236"/>
      <c r="E16" s="236"/>
      <c r="F16" s="237">
        <f>IF('Gårdens info'!D32&gt;0,J120/'Gårdens info'!I32,0)</f>
        <v>0</v>
      </c>
      <c r="G16" s="119" t="s">
        <v>57</v>
      </c>
      <c r="H16" s="503">
        <f>IF('Gårdens info'!$G$32&gt;0,F16/'Gårdens info'!$G$32,0)</f>
        <v>0</v>
      </c>
      <c r="I16" s="119" t="s">
        <v>206</v>
      </c>
      <c r="J16" s="237">
        <f>F16*'Gårdens info'!$D$32</f>
        <v>0</v>
      </c>
      <c r="K16" s="119" t="s">
        <v>718</v>
      </c>
      <c r="L16" s="236"/>
      <c r="M16" s="239"/>
      <c r="N16" s="369"/>
      <c r="O16" s="651">
        <f t="shared" ref="O16:O17" si="0">D296</f>
        <v>0</v>
      </c>
      <c r="P16" s="119" t="s">
        <v>212</v>
      </c>
      <c r="Q16" s="298" t="s">
        <v>511</v>
      </c>
      <c r="R16" s="119"/>
      <c r="S16" s="378">
        <v>0</v>
      </c>
      <c r="T16" s="255"/>
      <c r="U16" s="239" t="s">
        <v>206</v>
      </c>
    </row>
    <row r="17" spans="1:26" s="69" customFormat="1" ht="15.6" thickBot="1" x14ac:dyDescent="0.3">
      <c r="A17" s="480"/>
      <c r="B17" s="235"/>
      <c r="C17" s="228" t="s">
        <v>719</v>
      </c>
      <c r="D17" s="236"/>
      <c r="E17" s="236"/>
      <c r="F17" s="237">
        <f>IF('Gårdens info'!D32&gt;0,J134/'Gårdens info'!I32,0)</f>
        <v>0</v>
      </c>
      <c r="G17" s="119" t="s">
        <v>57</v>
      </c>
      <c r="H17" s="503">
        <f>IF('Gårdens info'!$G$32&gt;0,F17/'Gårdens info'!$G$32,0)</f>
        <v>0</v>
      </c>
      <c r="I17" s="119" t="s">
        <v>206</v>
      </c>
      <c r="J17" s="237">
        <f>F17*'Gårdens info'!$D$32</f>
        <v>0</v>
      </c>
      <c r="K17" s="119" t="s">
        <v>718</v>
      </c>
      <c r="L17" s="236"/>
      <c r="M17" s="239"/>
      <c r="N17" s="369"/>
      <c r="O17" s="651">
        <f t="shared" si="0"/>
        <v>0</v>
      </c>
      <c r="P17" s="119" t="s">
        <v>212</v>
      </c>
      <c r="Q17" s="298" t="s">
        <v>511</v>
      </c>
      <c r="R17" s="119"/>
      <c r="S17" s="378">
        <v>0</v>
      </c>
      <c r="T17" s="255"/>
      <c r="U17" s="239" t="s">
        <v>206</v>
      </c>
    </row>
    <row r="18" spans="1:26" s="69" customFormat="1" ht="17.399999999999999" x14ac:dyDescent="0.3">
      <c r="A18" s="480"/>
      <c r="B18" s="235"/>
      <c r="C18" s="228" t="s">
        <v>568</v>
      </c>
      <c r="D18" s="236"/>
      <c r="E18" s="236"/>
      <c r="F18" s="237">
        <f>IF('Gårdens info'!D32&gt;0,J142/'Gårdens info'!I32,0)</f>
        <v>0</v>
      </c>
      <c r="G18" s="119" t="s">
        <v>57</v>
      </c>
      <c r="H18" s="503">
        <f>IF('Gårdens info'!$G$32&gt;0,F18/'Gårdens info'!$G$32,0)</f>
        <v>0</v>
      </c>
      <c r="I18" s="119" t="s">
        <v>206</v>
      </c>
      <c r="J18" s="237">
        <f>F18*'Gårdens info'!$D$32</f>
        <v>0</v>
      </c>
      <c r="K18" s="119" t="s">
        <v>718</v>
      </c>
      <c r="L18" s="236"/>
      <c r="M18" s="239"/>
      <c r="N18" s="371"/>
      <c r="O18" s="1088" t="s">
        <v>54</v>
      </c>
      <c r="P18" s="1088"/>
      <c r="Q18" s="1088"/>
      <c r="R18" s="120"/>
      <c r="S18" s="375">
        <f>SUM(S10:S17)</f>
        <v>1</v>
      </c>
      <c r="T18" s="120"/>
      <c r="U18" s="234"/>
    </row>
    <row r="19" spans="1:26" s="69" customFormat="1" ht="15.6" x14ac:dyDescent="0.3">
      <c r="A19" s="480"/>
      <c r="B19" s="235"/>
      <c r="C19" s="228" t="s">
        <v>224</v>
      </c>
      <c r="D19" s="236"/>
      <c r="E19" s="236"/>
      <c r="F19" s="237">
        <f>IF('Gårdens info'!D32&gt;0,J154/'Gårdens info'!I32,0)</f>
        <v>0</v>
      </c>
      <c r="G19" s="119" t="s">
        <v>57</v>
      </c>
      <c r="H19" s="503">
        <f>IF('Gårdens info'!$G$32&gt;0,F19/'Gårdens info'!$G$32,0)</f>
        <v>0</v>
      </c>
      <c r="I19" s="119" t="s">
        <v>206</v>
      </c>
      <c r="J19" s="237">
        <f>F19*'Gårdens info'!$D$32</f>
        <v>0</v>
      </c>
      <c r="K19" s="119" t="s">
        <v>718</v>
      </c>
      <c r="L19" s="236"/>
      <c r="M19" s="239"/>
      <c r="N19" s="227"/>
      <c r="O19" s="376" t="str">
        <f>IF(S18=100%," ","HUOM! Osuus myyynneistä pitää summautua 100 prosenttiin")</f>
        <v xml:space="preserve"> </v>
      </c>
      <c r="P19" s="119"/>
      <c r="R19" s="119"/>
      <c r="S19" s="119"/>
      <c r="T19" s="119"/>
      <c r="U19" s="239"/>
    </row>
    <row r="20" spans="1:26" s="69" customFormat="1" ht="15.6" thickBot="1" x14ac:dyDescent="0.3">
      <c r="A20" s="480"/>
      <c r="B20" s="235"/>
      <c r="C20" s="228" t="s">
        <v>570</v>
      </c>
      <c r="D20" s="236"/>
      <c r="E20" s="236"/>
      <c r="F20" s="237">
        <f>IF('Gårdens info'!D32&gt;0,L179/'Gårdens info'!I32,0)</f>
        <v>0</v>
      </c>
      <c r="G20" s="119" t="s">
        <v>57</v>
      </c>
      <c r="H20" s="503">
        <f>IF('Gårdens info'!$G$32&gt;0,F20/'Gårdens info'!$G$32,0)</f>
        <v>0</v>
      </c>
      <c r="I20" s="119" t="s">
        <v>206</v>
      </c>
      <c r="J20" s="237">
        <f>F20*'Gårdens info'!$D$32</f>
        <v>0</v>
      </c>
      <c r="K20" s="119" t="s">
        <v>718</v>
      </c>
      <c r="L20" s="236"/>
      <c r="M20" s="239"/>
      <c r="N20" s="372"/>
      <c r="O20" s="373"/>
      <c r="P20" s="373"/>
      <c r="Q20" s="373"/>
      <c r="R20" s="373"/>
      <c r="S20" s="373"/>
      <c r="T20" s="373"/>
      <c r="U20" s="374"/>
    </row>
    <row r="21" spans="1:26" s="69" customFormat="1" ht="15.6" x14ac:dyDescent="0.3">
      <c r="A21" s="480"/>
      <c r="B21" s="235"/>
      <c r="C21" s="240" t="s">
        <v>54</v>
      </c>
      <c r="D21" s="241"/>
      <c r="E21" s="241"/>
      <c r="F21" s="242">
        <f>SUM(F15:F20)</f>
        <v>0</v>
      </c>
      <c r="G21" s="243" t="s">
        <v>57</v>
      </c>
      <c r="H21" s="504">
        <f>SUM(H15:H20)</f>
        <v>0</v>
      </c>
      <c r="I21" s="243" t="s">
        <v>206</v>
      </c>
      <c r="J21" s="242">
        <f>SUM(J15:J20)</f>
        <v>0</v>
      </c>
      <c r="K21" s="243" t="s">
        <v>718</v>
      </c>
      <c r="L21" s="241"/>
      <c r="M21" s="239"/>
    </row>
    <row r="22" spans="1:26" ht="17.399999999999999" x14ac:dyDescent="0.3">
      <c r="B22" s="231"/>
      <c r="C22" s="245"/>
      <c r="D22" s="246"/>
      <c r="E22" s="246"/>
      <c r="F22" s="247"/>
      <c r="G22" s="119"/>
      <c r="H22" s="246"/>
      <c r="I22" s="246"/>
      <c r="J22" s="246"/>
      <c r="K22" s="246"/>
      <c r="L22" s="246"/>
      <c r="M22" s="226"/>
      <c r="N22" s="69"/>
      <c r="O22" s="69"/>
      <c r="P22" s="69"/>
      <c r="Q22" s="69"/>
      <c r="R22" s="69"/>
      <c r="S22" s="69"/>
      <c r="T22" s="69"/>
      <c r="U22" s="69"/>
    </row>
    <row r="23" spans="1:26" s="56" customFormat="1" ht="17.399999999999999" x14ac:dyDescent="0.3">
      <c r="A23" s="479"/>
      <c r="B23" s="1148" t="s">
        <v>564</v>
      </c>
      <c r="C23" s="1149"/>
      <c r="D23" s="1149"/>
      <c r="E23" s="120"/>
      <c r="F23" s="120"/>
      <c r="G23" s="120"/>
      <c r="H23" s="120"/>
      <c r="I23" s="120"/>
      <c r="J23" s="233"/>
      <c r="K23" s="120"/>
      <c r="L23" s="120"/>
      <c r="M23" s="234"/>
      <c r="N23"/>
      <c r="O23"/>
      <c r="P23"/>
      <c r="Q23"/>
      <c r="R23"/>
      <c r="S23"/>
      <c r="T23"/>
      <c r="U23"/>
    </row>
    <row r="24" spans="1:26" s="69" customFormat="1" ht="17.399999999999999" x14ac:dyDescent="0.3">
      <c r="A24" s="480"/>
      <c r="B24" s="235"/>
      <c r="C24" s="228" t="s">
        <v>566</v>
      </c>
      <c r="D24" s="236"/>
      <c r="E24" s="236"/>
      <c r="F24" s="237">
        <f>IF('Gårdens info'!D32&gt;0,J191*'Gårdens info'!K32/'Gårdens info'!I32,0)</f>
        <v>0</v>
      </c>
      <c r="G24" s="119" t="s">
        <v>57</v>
      </c>
      <c r="H24" s="503">
        <f>IF('Gårdens info'!$G$32&gt;0,F24/'Gårdens info'!$G$32,0)</f>
        <v>0</v>
      </c>
      <c r="I24" s="119" t="s">
        <v>206</v>
      </c>
      <c r="J24" s="237">
        <f>F24*'Gårdens info'!$D$32</f>
        <v>0</v>
      </c>
      <c r="K24" s="119" t="s">
        <v>718</v>
      </c>
      <c r="L24" s="236"/>
      <c r="M24" s="239"/>
      <c r="N24" s="56"/>
      <c r="O24" s="56"/>
      <c r="P24" s="56"/>
      <c r="Q24" s="56"/>
      <c r="R24" s="56"/>
      <c r="S24" s="56"/>
      <c r="T24" s="56"/>
      <c r="U24" s="56"/>
    </row>
    <row r="25" spans="1:26" s="69" customFormat="1" ht="15" x14ac:dyDescent="0.25">
      <c r="A25" s="480"/>
      <c r="B25" s="235"/>
      <c r="C25" s="228" t="s">
        <v>219</v>
      </c>
      <c r="D25" s="236"/>
      <c r="E25" s="236"/>
      <c r="F25" s="237">
        <f>IF('Gårdens info'!D32&gt;0,J200*'Gårdens info'!K32/'Gårdens info'!I32,0)</f>
        <v>0</v>
      </c>
      <c r="G25" s="119" t="s">
        <v>57</v>
      </c>
      <c r="H25" s="503">
        <f>IF('Gårdens info'!$G$32&gt;0,F25/'Gårdens info'!$G$32,0)</f>
        <v>0</v>
      </c>
      <c r="I25" s="119" t="s">
        <v>206</v>
      </c>
      <c r="J25" s="237">
        <f>F25*'Gårdens info'!$D$32</f>
        <v>0</v>
      </c>
      <c r="K25" s="119" t="s">
        <v>718</v>
      </c>
      <c r="L25" s="236"/>
      <c r="M25" s="239"/>
    </row>
    <row r="26" spans="1:26" s="69" customFormat="1" ht="15" x14ac:dyDescent="0.25">
      <c r="A26" s="480"/>
      <c r="B26" s="235"/>
      <c r="C26" s="228" t="s">
        <v>220</v>
      </c>
      <c r="D26" s="236"/>
      <c r="E26" s="236"/>
      <c r="F26" s="237">
        <f>IF('Gårdens info'!D32&gt;0,J214*'Gårdens info'!K32/'Gårdens info'!I32,0)</f>
        <v>0</v>
      </c>
      <c r="G26" s="119" t="s">
        <v>57</v>
      </c>
      <c r="H26" s="503">
        <f>IF('Gårdens info'!$G$32&gt;0,F26/'Gårdens info'!$G$32,0)</f>
        <v>0</v>
      </c>
      <c r="I26" s="119" t="s">
        <v>206</v>
      </c>
      <c r="J26" s="237">
        <f>F26*'Gårdens info'!$D$32</f>
        <v>0</v>
      </c>
      <c r="K26" s="119" t="s">
        <v>718</v>
      </c>
      <c r="L26" s="236"/>
      <c r="M26" s="239"/>
    </row>
    <row r="27" spans="1:26" s="69" customFormat="1" ht="15" x14ac:dyDescent="0.25">
      <c r="A27" s="480"/>
      <c r="B27" s="235"/>
      <c r="C27" s="228" t="s">
        <v>568</v>
      </c>
      <c r="D27" s="236"/>
      <c r="E27" s="236"/>
      <c r="F27" s="237">
        <f>IF('Gårdens info'!D32&gt;0,J222*'Gårdens info'!K32/'Gårdens info'!I32,0)</f>
        <v>0</v>
      </c>
      <c r="G27" s="119" t="s">
        <v>57</v>
      </c>
      <c r="H27" s="503">
        <f>IF('Gårdens info'!$G$32&gt;0,F27/'Gårdens info'!$G$32,0)</f>
        <v>0</v>
      </c>
      <c r="I27" s="119" t="s">
        <v>206</v>
      </c>
      <c r="J27" s="237">
        <f>F27*'Gårdens info'!$D$32</f>
        <v>0</v>
      </c>
      <c r="K27" s="119" t="s">
        <v>718</v>
      </c>
      <c r="L27" s="236"/>
      <c r="M27" s="239"/>
      <c r="Y27" s="494" t="str">
        <f>C25</f>
        <v>Gödsel och kalk</v>
      </c>
      <c r="Z27" s="447">
        <f>F33</f>
        <v>0</v>
      </c>
    </row>
    <row r="28" spans="1:26" s="69" customFormat="1" ht="15" x14ac:dyDescent="0.25">
      <c r="A28" s="480"/>
      <c r="B28" s="235"/>
      <c r="C28" s="228" t="s">
        <v>224</v>
      </c>
      <c r="D28" s="236"/>
      <c r="E28" s="236"/>
      <c r="F28" s="237">
        <f>IF('Gårdens info'!D32&gt;0,J234*'Gårdens info'!K32/'Gårdens info'!I32,0)</f>
        <v>0</v>
      </c>
      <c r="G28" s="119" t="s">
        <v>57</v>
      </c>
      <c r="H28" s="503">
        <f>IF('Gårdens info'!$G$32&gt;0,F28/'Gårdens info'!$G$32,0)</f>
        <v>0</v>
      </c>
      <c r="I28" s="119" t="s">
        <v>206</v>
      </c>
      <c r="J28" s="237">
        <f>F28*'Gårdens info'!$D$32</f>
        <v>0</v>
      </c>
      <c r="K28" s="119" t="s">
        <v>718</v>
      </c>
      <c r="L28" s="236"/>
      <c r="M28" s="239"/>
      <c r="Y28" s="494" t="str">
        <f>C26</f>
        <v>IPM Växtskydd</v>
      </c>
      <c r="Z28" s="447">
        <f t="shared" ref="Z28:Z34" si="1">F34</f>
        <v>0</v>
      </c>
    </row>
    <row r="29" spans="1:26" s="69" customFormat="1" ht="15" x14ac:dyDescent="0.25">
      <c r="A29" s="480"/>
      <c r="B29" s="235"/>
      <c r="C29" s="228" t="s">
        <v>570</v>
      </c>
      <c r="D29" s="236"/>
      <c r="E29" s="236"/>
      <c r="F29" s="237">
        <f>IF('Gårdens info'!D32&gt;0,L253*'Gårdens info'!K32/'Gårdens info'!I32,0)</f>
        <v>0</v>
      </c>
      <c r="G29" s="119" t="s">
        <v>57</v>
      </c>
      <c r="H29" s="503">
        <f>IF('Gårdens info'!$G$32&gt;0,F29/'Gårdens info'!$G$32,0)</f>
        <v>0</v>
      </c>
      <c r="I29" s="119" t="s">
        <v>206</v>
      </c>
      <c r="J29" s="237">
        <f>F29*'Gårdens info'!$D$32</f>
        <v>0</v>
      </c>
      <c r="K29" s="119" t="s">
        <v>718</v>
      </c>
      <c r="L29" s="236"/>
      <c r="M29" s="239"/>
      <c r="Y29" s="494" t="str">
        <f>C35</f>
        <v>Pollinering</v>
      </c>
      <c r="Z29" s="447">
        <f t="shared" si="1"/>
        <v>0</v>
      </c>
    </row>
    <row r="30" spans="1:26" s="69" customFormat="1" ht="15.6" x14ac:dyDescent="0.3">
      <c r="A30" s="480"/>
      <c r="B30" s="235"/>
      <c r="C30" s="240" t="s">
        <v>54</v>
      </c>
      <c r="D30" s="241"/>
      <c r="E30" s="241"/>
      <c r="F30" s="242">
        <f>SUM(F24:F29)</f>
        <v>0</v>
      </c>
      <c r="G30" s="243" t="s">
        <v>57</v>
      </c>
      <c r="H30" s="504">
        <f>SUM(H24:H29)</f>
        <v>0</v>
      </c>
      <c r="I30" s="243" t="s">
        <v>206</v>
      </c>
      <c r="J30" s="242">
        <f>SUM(J24:J29)</f>
        <v>0</v>
      </c>
      <c r="K30" s="243" t="s">
        <v>718</v>
      </c>
      <c r="L30" s="241"/>
      <c r="M30" s="239"/>
      <c r="Y30" s="494" t="str">
        <f t="shared" ref="Y30:Y34" si="2">C36</f>
        <v>Förpackningsmaterial</v>
      </c>
      <c r="Z30" s="447">
        <f t="shared" si="1"/>
        <v>0</v>
      </c>
    </row>
    <row r="31" spans="1:26" ht="17.399999999999999" x14ac:dyDescent="0.3">
      <c r="B31" s="231"/>
      <c r="C31" s="245"/>
      <c r="D31" s="246"/>
      <c r="E31" s="246"/>
      <c r="F31" s="247"/>
      <c r="G31" s="119"/>
      <c r="H31" s="246"/>
      <c r="I31" s="246"/>
      <c r="J31" s="246"/>
      <c r="K31" s="246"/>
      <c r="L31" s="246"/>
      <c r="M31" s="226"/>
      <c r="N31" s="69"/>
      <c r="O31" s="69"/>
      <c r="P31" s="69"/>
      <c r="Q31" s="69"/>
      <c r="R31" s="69"/>
      <c r="S31" s="69"/>
      <c r="T31" s="69"/>
      <c r="U31" s="69"/>
      <c r="Y31" s="494" t="str">
        <f t="shared" si="2"/>
        <v>Frakt av produkter</v>
      </c>
      <c r="Z31" s="447">
        <f t="shared" si="1"/>
        <v>0</v>
      </c>
    </row>
    <row r="32" spans="1:26" s="56" customFormat="1" ht="17.399999999999999" x14ac:dyDescent="0.3">
      <c r="A32" s="479"/>
      <c r="B32" s="248" t="s">
        <v>240</v>
      </c>
      <c r="C32" s="245"/>
      <c r="D32" s="249"/>
      <c r="E32" s="249"/>
      <c r="F32" s="250"/>
      <c r="G32" s="120"/>
      <c r="H32" s="249"/>
      <c r="I32" s="249"/>
      <c r="J32" s="249"/>
      <c r="K32" s="249"/>
      <c r="L32" s="249"/>
      <c r="M32" s="234"/>
      <c r="N32"/>
      <c r="O32"/>
      <c r="P32"/>
      <c r="Q32"/>
      <c r="R32"/>
      <c r="S32"/>
      <c r="T32"/>
      <c r="U32"/>
      <c r="Y32" s="494" t="str">
        <f t="shared" si="2"/>
        <v>Maskinhyra och entreprenad</v>
      </c>
      <c r="Z32" s="447">
        <f t="shared" si="1"/>
        <v>0</v>
      </c>
    </row>
    <row r="33" spans="1:26" s="69" customFormat="1" ht="17.399999999999999" x14ac:dyDescent="0.3">
      <c r="A33" s="480"/>
      <c r="B33" s="235"/>
      <c r="C33" s="228" t="s">
        <v>219</v>
      </c>
      <c r="D33" s="236"/>
      <c r="E33" s="236"/>
      <c r="F33" s="237">
        <f>IF('Gårdens info'!$D$32&gt;0,J263,0)</f>
        <v>0</v>
      </c>
      <c r="G33" s="119" t="s">
        <v>57</v>
      </c>
      <c r="H33" s="503">
        <f>IF('Gårdens info'!$G$32&gt;0,F33/'Gårdens info'!$G$32,0)</f>
        <v>0</v>
      </c>
      <c r="I33" s="119" t="s">
        <v>206</v>
      </c>
      <c r="J33" s="237">
        <f>F33*'Gårdens info'!$D$32</f>
        <v>0</v>
      </c>
      <c r="K33" s="119" t="s">
        <v>718</v>
      </c>
      <c r="L33" s="236"/>
      <c r="M33" s="239"/>
      <c r="N33" s="56"/>
      <c r="O33" s="56"/>
      <c r="P33" s="56"/>
      <c r="Q33" s="56"/>
      <c r="R33" s="56"/>
      <c r="S33" s="56"/>
      <c r="T33" s="56"/>
      <c r="U33" s="56"/>
      <c r="Y33" s="494" t="str">
        <f t="shared" si="2"/>
        <v>Energikostnader</v>
      </c>
      <c r="Z33" s="447">
        <f t="shared" si="1"/>
        <v>0</v>
      </c>
    </row>
    <row r="34" spans="1:26" s="69" customFormat="1" ht="15" x14ac:dyDescent="0.25">
      <c r="A34" s="480"/>
      <c r="B34" s="235"/>
      <c r="C34" s="228" t="s">
        <v>220</v>
      </c>
      <c r="D34" s="236"/>
      <c r="E34" s="236"/>
      <c r="F34" s="237">
        <f>IF('Gårdens info'!D32&gt;0,J285,0)</f>
        <v>0</v>
      </c>
      <c r="G34" s="119" t="s">
        <v>57</v>
      </c>
      <c r="H34" s="503">
        <f>IF('Gårdens info'!$G$32&gt;0,F34/'Gårdens info'!$G$32,0)</f>
        <v>0</v>
      </c>
      <c r="I34" s="119" t="s">
        <v>206</v>
      </c>
      <c r="J34" s="237">
        <f>F34*'Gårdens info'!$D$32</f>
        <v>0</v>
      </c>
      <c r="K34" s="119" t="s">
        <v>718</v>
      </c>
      <c r="L34" s="236"/>
      <c r="M34" s="239"/>
      <c r="Y34" s="494" t="str">
        <f t="shared" si="2"/>
        <v>Anställd personal</v>
      </c>
      <c r="Z34" s="447">
        <f t="shared" si="1"/>
        <v>0</v>
      </c>
    </row>
    <row r="35" spans="1:26" s="69" customFormat="1" ht="15" x14ac:dyDescent="0.25">
      <c r="A35" s="480"/>
      <c r="B35" s="235"/>
      <c r="C35" s="228" t="s">
        <v>574</v>
      </c>
      <c r="D35" s="236"/>
      <c r="E35" s="236"/>
      <c r="F35" s="237">
        <f>IF('Gårdens info'!D32&gt;0,J278,0)</f>
        <v>0</v>
      </c>
      <c r="G35" s="119" t="s">
        <v>57</v>
      </c>
      <c r="H35" s="503">
        <f>IF('Gårdens info'!$G$32&gt;0,F35/'Gårdens info'!$G$32,0)</f>
        <v>0</v>
      </c>
      <c r="I35" s="119" t="s">
        <v>206</v>
      </c>
      <c r="J35" s="237">
        <f>F35*'Gårdens info'!$D$32</f>
        <v>0</v>
      </c>
      <c r="K35" s="119" t="s">
        <v>718</v>
      </c>
      <c r="L35" s="236"/>
      <c r="M35" s="239"/>
      <c r="Y35" s="384" t="s">
        <v>538</v>
      </c>
      <c r="Z35" s="447">
        <f>F50</f>
        <v>0</v>
      </c>
    </row>
    <row r="36" spans="1:26" s="69" customFormat="1" ht="15" x14ac:dyDescent="0.25">
      <c r="A36" s="480"/>
      <c r="B36" s="235"/>
      <c r="C36" s="228" t="s">
        <v>575</v>
      </c>
      <c r="D36" s="236"/>
      <c r="E36" s="236"/>
      <c r="F36" s="237">
        <f>IF('Gårdens info'!D32&gt;0,J298,0)</f>
        <v>0</v>
      </c>
      <c r="G36" s="119" t="s">
        <v>57</v>
      </c>
      <c r="H36" s="503">
        <f>IF('Gårdens info'!$G$32&gt;0,F36/'Gårdens info'!$G$32,0)</f>
        <v>0</v>
      </c>
      <c r="I36" s="119" t="s">
        <v>206</v>
      </c>
      <c r="J36" s="237">
        <f>F36*'Gårdens info'!$D$32</f>
        <v>0</v>
      </c>
      <c r="K36" s="119" t="s">
        <v>718</v>
      </c>
      <c r="L36" s="236"/>
      <c r="M36" s="239"/>
      <c r="Y36" s="382" t="s">
        <v>482</v>
      </c>
      <c r="Z36" s="450">
        <f>F51</f>
        <v>0</v>
      </c>
    </row>
    <row r="37" spans="1:26" s="69" customFormat="1" ht="15" x14ac:dyDescent="0.25">
      <c r="A37" s="480"/>
      <c r="B37" s="235"/>
      <c r="C37" s="228" t="s">
        <v>576</v>
      </c>
      <c r="D37" s="236"/>
      <c r="E37" s="236"/>
      <c r="F37" s="237">
        <f>IF('Gårdens info'!D32&gt;0,J306,0)</f>
        <v>0</v>
      </c>
      <c r="G37" s="119" t="s">
        <v>57</v>
      </c>
      <c r="H37" s="503">
        <f>IF('Gårdens info'!$G$32&gt;0,F37/'Gårdens info'!$G$32,0)</f>
        <v>0</v>
      </c>
      <c r="I37" s="119" t="s">
        <v>206</v>
      </c>
      <c r="J37" s="237">
        <f>F37*'Gårdens info'!$D$32</f>
        <v>0</v>
      </c>
      <c r="K37" s="119" t="s">
        <v>718</v>
      </c>
      <c r="L37" s="236"/>
      <c r="M37" s="239"/>
      <c r="Y37" s="382" t="s">
        <v>235</v>
      </c>
      <c r="Z37" s="451">
        <f>F60</f>
        <v>0</v>
      </c>
    </row>
    <row r="38" spans="1:26" s="69" customFormat="1" ht="15" x14ac:dyDescent="0.25">
      <c r="A38" s="480"/>
      <c r="B38" s="235"/>
      <c r="C38" s="228" t="s">
        <v>568</v>
      </c>
      <c r="D38" s="236"/>
      <c r="E38" s="236"/>
      <c r="F38" s="237">
        <f>IF('Gårdens info'!D32&gt;0,J314,0)</f>
        <v>0</v>
      </c>
      <c r="G38" s="119" t="s">
        <v>57</v>
      </c>
      <c r="H38" s="503">
        <f>IF('Gårdens info'!$G$32&gt;0,F38/'Gårdens info'!$G$32,0)</f>
        <v>0</v>
      </c>
      <c r="I38" s="119" t="s">
        <v>206</v>
      </c>
      <c r="J38" s="237">
        <f>F38*'Gårdens info'!$D$32</f>
        <v>0</v>
      </c>
      <c r="K38" s="119" t="s">
        <v>718</v>
      </c>
      <c r="L38" s="236"/>
      <c r="M38" s="239"/>
      <c r="Y38" s="382" t="s">
        <v>236</v>
      </c>
      <c r="Z38" s="451">
        <f>F67</f>
        <v>0</v>
      </c>
    </row>
    <row r="39" spans="1:26" s="69" customFormat="1" ht="15" x14ac:dyDescent="0.25">
      <c r="A39" s="480"/>
      <c r="B39" s="235"/>
      <c r="C39" s="228" t="s">
        <v>224</v>
      </c>
      <c r="D39" s="236"/>
      <c r="E39" s="236"/>
      <c r="F39" s="237">
        <f>IF('Gårdens info'!D32&gt;0,J326,0)</f>
        <v>0</v>
      </c>
      <c r="G39" s="119" t="s">
        <v>57</v>
      </c>
      <c r="H39" s="503">
        <f>IF('Gårdens info'!$G$32&gt;0,F39/'Gårdens info'!$G$32,0)</f>
        <v>0</v>
      </c>
      <c r="I39" s="119" t="s">
        <v>206</v>
      </c>
      <c r="J39" s="237">
        <f>F39*'Gårdens info'!$D$32</f>
        <v>0</v>
      </c>
      <c r="K39" s="119" t="s">
        <v>718</v>
      </c>
      <c r="L39" s="236"/>
      <c r="M39" s="239"/>
      <c r="Y39" s="382" t="s">
        <v>237</v>
      </c>
      <c r="Z39" s="451">
        <f>F74</f>
        <v>0</v>
      </c>
    </row>
    <row r="40" spans="1:26" s="69" customFormat="1" ht="15" x14ac:dyDescent="0.25">
      <c r="A40" s="480"/>
      <c r="B40" s="235"/>
      <c r="C40" s="228" t="s">
        <v>570</v>
      </c>
      <c r="D40" s="236"/>
      <c r="E40" s="236"/>
      <c r="F40" s="237">
        <f>IF('Gårdens info'!D32&gt;0,L347,0)</f>
        <v>0</v>
      </c>
      <c r="G40" s="119" t="s">
        <v>57</v>
      </c>
      <c r="H40" s="503">
        <f>IF('Gårdens info'!$G$32&gt;0,F40/'Gårdens info'!$G$32,0)</f>
        <v>0</v>
      </c>
      <c r="I40" s="119" t="s">
        <v>206</v>
      </c>
      <c r="J40" s="237">
        <f>F40*'Gårdens info'!$D$32</f>
        <v>0</v>
      </c>
      <c r="K40" s="119" t="s">
        <v>718</v>
      </c>
      <c r="L40" s="236"/>
      <c r="M40" s="239"/>
      <c r="Y40" s="382" t="s">
        <v>141</v>
      </c>
      <c r="Z40" s="451">
        <f>F80</f>
        <v>0</v>
      </c>
    </row>
    <row r="41" spans="1:26" s="192" customFormat="1" ht="15.6" x14ac:dyDescent="0.3">
      <c r="A41" s="481"/>
      <c r="B41" s="251"/>
      <c r="C41" s="240" t="s">
        <v>54</v>
      </c>
      <c r="D41" s="241"/>
      <c r="E41" s="241"/>
      <c r="F41" s="242">
        <f>SUM(F33:F40)</f>
        <v>0</v>
      </c>
      <c r="G41" s="243" t="s">
        <v>57</v>
      </c>
      <c r="H41" s="504">
        <f>SUM(H33:H40)</f>
        <v>0</v>
      </c>
      <c r="I41" s="243" t="s">
        <v>206</v>
      </c>
      <c r="J41" s="242">
        <f>SUM(J33:J40)</f>
        <v>0</v>
      </c>
      <c r="K41" s="243" t="s">
        <v>718</v>
      </c>
      <c r="L41" s="241"/>
      <c r="M41" s="252"/>
      <c r="N41" s="69"/>
      <c r="O41" s="69"/>
      <c r="P41" s="69"/>
      <c r="Q41" s="69"/>
      <c r="R41" s="69"/>
      <c r="S41" s="69"/>
      <c r="T41" s="69"/>
      <c r="U41" s="69"/>
      <c r="Y41" s="382" t="s">
        <v>192</v>
      </c>
      <c r="Z41" s="451">
        <f>F91</f>
        <v>0</v>
      </c>
    </row>
    <row r="42" spans="1:26" ht="17.399999999999999" x14ac:dyDescent="0.3">
      <c r="B42" s="231"/>
      <c r="C42" s="245"/>
      <c r="D42" s="246"/>
      <c r="E42" s="246"/>
      <c r="F42" s="247"/>
      <c r="G42" s="119"/>
      <c r="H42" s="246"/>
      <c r="I42" s="246"/>
      <c r="J42" s="246"/>
      <c r="K42" s="246"/>
      <c r="L42" s="246"/>
      <c r="M42" s="226"/>
      <c r="N42" s="192"/>
      <c r="O42" s="192"/>
      <c r="P42" s="192"/>
      <c r="Q42" s="192"/>
      <c r="R42" s="192"/>
      <c r="S42" s="192"/>
      <c r="T42" s="192"/>
      <c r="U42" s="192"/>
      <c r="Y42" s="192"/>
      <c r="Z42" s="192"/>
    </row>
    <row r="43" spans="1:26" ht="17.399999999999999" x14ac:dyDescent="0.3">
      <c r="B43" s="952" t="s">
        <v>581</v>
      </c>
      <c r="C43" s="245"/>
      <c r="D43" s="246"/>
      <c r="E43" s="246"/>
      <c r="F43" s="246"/>
      <c r="G43" s="246"/>
      <c r="H43" s="246"/>
      <c r="I43" s="246"/>
      <c r="J43" s="246"/>
      <c r="K43" s="246"/>
      <c r="L43" s="246"/>
      <c r="M43" s="226"/>
    </row>
    <row r="44" spans="1:26" ht="17.399999999999999" x14ac:dyDescent="0.3">
      <c r="B44" s="231"/>
      <c r="C44" s="228" t="s">
        <v>220</v>
      </c>
      <c r="D44" s="236"/>
      <c r="E44" s="236"/>
      <c r="F44" s="237">
        <f>IF('Gårdens info'!D32&gt;0,J364/'Gårdens info'!I32,0)</f>
        <v>0</v>
      </c>
      <c r="G44" s="119" t="s">
        <v>57</v>
      </c>
      <c r="H44" s="503">
        <f>IF('Gårdens info'!$G$32&gt;0,F44/'Gårdens info'!$G$32,0)</f>
        <v>0</v>
      </c>
      <c r="I44" s="119" t="s">
        <v>206</v>
      </c>
      <c r="J44" s="237">
        <f>F44*'Gårdens info'!$D$32</f>
        <v>0</v>
      </c>
      <c r="K44" s="119" t="s">
        <v>718</v>
      </c>
      <c r="L44" s="246"/>
      <c r="M44" s="226"/>
    </row>
    <row r="45" spans="1:26" s="69" customFormat="1" ht="15" x14ac:dyDescent="0.25">
      <c r="A45" s="480"/>
      <c r="B45" s="235"/>
      <c r="C45" s="228" t="s">
        <v>568</v>
      </c>
      <c r="D45" s="236"/>
      <c r="E45" s="236"/>
      <c r="F45" s="237">
        <f>IF('Gårdens info'!D32&gt;0,J372/'Gårdens info'!I32,0)</f>
        <v>0</v>
      </c>
      <c r="G45" s="119" t="s">
        <v>57</v>
      </c>
      <c r="H45" s="503">
        <f>IF('Gårdens info'!$G$32&gt;0,F45/'Gårdens info'!$G$32,0)</f>
        <v>0</v>
      </c>
      <c r="I45" s="119" t="s">
        <v>206</v>
      </c>
      <c r="J45" s="237">
        <f>F45*'Gårdens info'!$D$32</f>
        <v>0</v>
      </c>
      <c r="K45" s="119" t="s">
        <v>718</v>
      </c>
      <c r="L45" s="236"/>
      <c r="M45" s="239"/>
      <c r="N45"/>
      <c r="O45"/>
      <c r="P45"/>
      <c r="Q45"/>
      <c r="R45"/>
      <c r="S45"/>
      <c r="T45"/>
      <c r="U45"/>
      <c r="Y45"/>
      <c r="Z45"/>
    </row>
    <row r="46" spans="1:26" s="69" customFormat="1" ht="15" x14ac:dyDescent="0.25">
      <c r="A46" s="480"/>
      <c r="B46" s="235"/>
      <c r="C46" s="228" t="s">
        <v>224</v>
      </c>
      <c r="D46" s="236"/>
      <c r="E46" s="236"/>
      <c r="F46" s="237">
        <f>IF('Gårdens info'!D32&gt;0,J384/'Gårdens info'!I32,0)</f>
        <v>0</v>
      </c>
      <c r="G46" s="119" t="s">
        <v>57</v>
      </c>
      <c r="H46" s="503">
        <f>IF('Gårdens info'!$G$32&gt;0,F46/'Gårdens info'!$G$32,0)</f>
        <v>0</v>
      </c>
      <c r="I46" s="119" t="s">
        <v>206</v>
      </c>
      <c r="J46" s="237">
        <f>F46*'Gårdens info'!$D$32</f>
        <v>0</v>
      </c>
      <c r="K46" s="119" t="s">
        <v>718</v>
      </c>
      <c r="L46" s="236"/>
      <c r="M46" s="239"/>
    </row>
    <row r="47" spans="1:26" s="69" customFormat="1" ht="15" x14ac:dyDescent="0.25">
      <c r="A47" s="480"/>
      <c r="B47" s="235"/>
      <c r="C47" s="228" t="s">
        <v>570</v>
      </c>
      <c r="D47" s="236"/>
      <c r="E47" s="236"/>
      <c r="F47" s="237">
        <f>IF('Gårdens info'!D32&gt;0,L397/'Gårdens info'!I32,0)</f>
        <v>0</v>
      </c>
      <c r="G47" s="119" t="s">
        <v>57</v>
      </c>
      <c r="H47" s="503">
        <f>IF('Gårdens info'!$G$32&gt;0,F47/'Gårdens info'!$G$32,0)</f>
        <v>0</v>
      </c>
      <c r="I47" s="119" t="s">
        <v>206</v>
      </c>
      <c r="J47" s="237">
        <f>F47*'Gårdens info'!$D$32</f>
        <v>0</v>
      </c>
      <c r="K47" s="119" t="s">
        <v>718</v>
      </c>
      <c r="L47" s="236"/>
      <c r="M47" s="239"/>
    </row>
    <row r="48" spans="1:26" s="5" customFormat="1" ht="15.6" x14ac:dyDescent="0.3">
      <c r="A48" s="478"/>
      <c r="B48" s="286"/>
      <c r="C48" s="262" t="s">
        <v>54</v>
      </c>
      <c r="D48" s="262"/>
      <c r="E48" s="262"/>
      <c r="F48" s="263">
        <f>SUM(F44:F47)</f>
        <v>0</v>
      </c>
      <c r="G48" s="243" t="s">
        <v>57</v>
      </c>
      <c r="H48" s="506">
        <f>SUM(H44:H47)</f>
        <v>0</v>
      </c>
      <c r="I48" s="243" t="s">
        <v>206</v>
      </c>
      <c r="J48" s="258">
        <f>SUM(J44:J47)</f>
        <v>0</v>
      </c>
      <c r="K48" s="243" t="s">
        <v>718</v>
      </c>
      <c r="L48" s="265"/>
      <c r="M48" s="259"/>
      <c r="N48" s="69"/>
      <c r="O48" s="69"/>
      <c r="P48" s="69"/>
      <c r="Q48" s="69"/>
      <c r="R48" s="69"/>
      <c r="S48" s="69"/>
      <c r="T48" s="69"/>
      <c r="U48" s="69"/>
      <c r="Y48" s="69"/>
      <c r="Z48" s="69"/>
    </row>
    <row r="49" spans="1:26" s="5" customFormat="1" ht="15.6" x14ac:dyDescent="0.3">
      <c r="A49" s="478"/>
      <c r="B49" s="286"/>
      <c r="C49" s="262"/>
      <c r="D49" s="262"/>
      <c r="E49" s="262"/>
      <c r="F49" s="263"/>
      <c r="G49" s="243"/>
      <c r="H49" s="264"/>
      <c r="I49" s="243"/>
      <c r="J49" s="258"/>
      <c r="K49" s="243"/>
      <c r="L49" s="265"/>
      <c r="M49" s="259"/>
    </row>
    <row r="50" spans="1:26" s="5" customFormat="1" ht="17.399999999999999" x14ac:dyDescent="0.3">
      <c r="A50" s="478"/>
      <c r="B50" s="1081" t="s">
        <v>720</v>
      </c>
      <c r="C50" s="1082"/>
      <c r="D50" s="1082"/>
      <c r="E50" s="1082"/>
      <c r="F50" s="263">
        <f>IF('Gårdens info'!D32&gt;0,J50/'Gårdens info'!D32,0)</f>
        <v>0</v>
      </c>
      <c r="G50" s="243" t="s">
        <v>57</v>
      </c>
      <c r="H50" s="506">
        <f>IF('Gårdens info'!G32&gt;0,F50/'Gårdens info'!G32,0)</f>
        <v>0</v>
      </c>
      <c r="I50" s="243" t="s">
        <v>206</v>
      </c>
      <c r="J50" s="258">
        <f>'Gårdens info'!G163/'Gårdens info'!D43*'Gårdens info'!D32</f>
        <v>0</v>
      </c>
      <c r="K50" s="243" t="s">
        <v>718</v>
      </c>
      <c r="L50" s="265"/>
      <c r="M50" s="259"/>
    </row>
    <row r="51" spans="1:26" s="5" customFormat="1" ht="17.399999999999999" customHeight="1" x14ac:dyDescent="0.3">
      <c r="A51" s="478"/>
      <c r="B51" s="1091" t="s">
        <v>721</v>
      </c>
      <c r="C51" s="1092"/>
      <c r="D51" s="1092"/>
      <c r="E51" s="1092"/>
      <c r="F51" s="263">
        <f>IF('Gårdens info'!D32&gt;0,J51/'Gårdens info'!D32,0)</f>
        <v>0</v>
      </c>
      <c r="G51" s="243" t="s">
        <v>57</v>
      </c>
      <c r="H51" s="506">
        <f>IF('Gårdens info'!G32&gt;0,F51/'Gårdens info'!G32,0)</f>
        <v>0</v>
      </c>
      <c r="I51" s="243" t="s">
        <v>206</v>
      </c>
      <c r="J51" s="258">
        <f>'Gårdens info'!$D$48/'Gårdens info'!$D$49*'Gårdens info'!$G$48*'Gårdens info'!D32</f>
        <v>0</v>
      </c>
      <c r="K51" s="243" t="s">
        <v>718</v>
      </c>
      <c r="L51" s="265"/>
      <c r="M51" s="259"/>
    </row>
    <row r="52" spans="1:26" s="5" customFormat="1" ht="21" customHeight="1" x14ac:dyDescent="0.4">
      <c r="A52" s="478"/>
      <c r="B52" s="1061" t="s">
        <v>189</v>
      </c>
      <c r="C52" s="1043"/>
      <c r="D52" s="1043"/>
      <c r="E52" s="262"/>
      <c r="F52" s="266">
        <f>F21+F41+F48+F50+F51</f>
        <v>0</v>
      </c>
      <c r="G52" s="267" t="s">
        <v>57</v>
      </c>
      <c r="H52" s="507">
        <f>H21+H41+H48+H50+H51</f>
        <v>0</v>
      </c>
      <c r="I52" s="267" t="s">
        <v>206</v>
      </c>
      <c r="J52" s="269">
        <f>J21+J41+J48+J50+J51</f>
        <v>0</v>
      </c>
      <c r="K52" s="267" t="s">
        <v>718</v>
      </c>
      <c r="L52" s="267"/>
      <c r="M52" s="259"/>
    </row>
    <row r="53" spans="1:26" s="5" customFormat="1" ht="43.2" customHeight="1" x14ac:dyDescent="0.4">
      <c r="A53" s="478"/>
      <c r="B53" s="288"/>
      <c r="C53" s="270"/>
      <c r="D53" s="270"/>
      <c r="E53" s="262"/>
      <c r="F53" s="266"/>
      <c r="G53" s="267"/>
      <c r="H53" s="268"/>
      <c r="I53" s="267"/>
      <c r="J53" s="269"/>
      <c r="K53" s="267"/>
      <c r="L53" s="267"/>
      <c r="M53" s="259"/>
    </row>
    <row r="54" spans="1:26" ht="21" x14ac:dyDescent="0.4">
      <c r="B54" s="257" t="s">
        <v>722</v>
      </c>
      <c r="C54" s="225"/>
      <c r="D54" s="116"/>
      <c r="E54" s="116"/>
      <c r="F54" s="116"/>
      <c r="G54" s="116"/>
      <c r="H54" s="116"/>
      <c r="I54" s="116"/>
      <c r="J54" s="232"/>
      <c r="K54" s="116"/>
      <c r="L54" s="116"/>
      <c r="M54" s="226"/>
      <c r="N54" s="5"/>
      <c r="O54" s="5"/>
      <c r="P54" s="5"/>
      <c r="Q54" s="5"/>
      <c r="R54" s="5"/>
      <c r="S54" s="5"/>
      <c r="T54" s="5"/>
      <c r="U54" s="5"/>
      <c r="Y54" s="5"/>
      <c r="Z54" s="5"/>
    </row>
    <row r="55" spans="1:26" s="5" customFormat="1" ht="21" x14ac:dyDescent="0.4">
      <c r="A55" s="478"/>
      <c r="B55" s="1081" t="s">
        <v>69</v>
      </c>
      <c r="C55" s="1082"/>
      <c r="D55" s="270"/>
      <c r="E55" s="262"/>
      <c r="F55" s="266"/>
      <c r="G55" s="267"/>
      <c r="H55" s="268"/>
      <c r="I55" s="267"/>
      <c r="J55" s="269"/>
      <c r="K55" s="267"/>
      <c r="L55" s="267"/>
      <c r="M55" s="259"/>
      <c r="N55"/>
      <c r="O55"/>
      <c r="P55"/>
      <c r="Q55"/>
      <c r="R55"/>
      <c r="S55"/>
      <c r="T55"/>
      <c r="U55"/>
      <c r="Y55"/>
      <c r="Z55"/>
    </row>
    <row r="56" spans="1:26" s="5" customFormat="1" ht="21" x14ac:dyDescent="0.4">
      <c r="A56" s="478"/>
      <c r="B56" s="287"/>
      <c r="C56" s="941" t="s">
        <v>229</v>
      </c>
      <c r="D56" s="942"/>
      <c r="E56" s="262"/>
      <c r="F56" s="276">
        <f>IF('Gårdens info'!$D$32&gt;0,J56/'Gårdens info'!$D$32,0)</f>
        <v>0</v>
      </c>
      <c r="G56" s="119" t="s">
        <v>57</v>
      </c>
      <c r="H56" s="502">
        <f>IF('Gårdens info'!$G$32&gt;0,F56/'Gårdens info'!$G$32,0)</f>
        <v>0</v>
      </c>
      <c r="I56" s="119" t="s">
        <v>206</v>
      </c>
      <c r="J56" s="237">
        <f>Egendom!AZ25</f>
        <v>0</v>
      </c>
      <c r="K56" s="119" t="s">
        <v>718</v>
      </c>
      <c r="L56" s="267"/>
      <c r="M56" s="259"/>
    </row>
    <row r="57" spans="1:26" s="5" customFormat="1" ht="21" x14ac:dyDescent="0.4">
      <c r="A57" s="478"/>
      <c r="B57" s="287"/>
      <c r="C57" s="941" t="s">
        <v>230</v>
      </c>
      <c r="D57" s="942"/>
      <c r="E57" s="262"/>
      <c r="F57" s="276">
        <f>IF('Gårdens info'!$D$32&gt;0,J57/'Gårdens info'!$D$32,0)</f>
        <v>0</v>
      </c>
      <c r="G57" s="119" t="s">
        <v>57</v>
      </c>
      <c r="H57" s="502">
        <f>IF('Gårdens info'!$G$32&gt;0,F57/'Gårdens info'!$G$32,0)</f>
        <v>0</v>
      </c>
      <c r="I57" s="119" t="s">
        <v>206</v>
      </c>
      <c r="J57" s="237">
        <f>Egendom!BX25</f>
        <v>0</v>
      </c>
      <c r="K57" s="119" t="s">
        <v>718</v>
      </c>
      <c r="L57" s="267"/>
      <c r="M57" s="259"/>
    </row>
    <row r="58" spans="1:26" s="5" customFormat="1" ht="17.399999999999999" customHeight="1" x14ac:dyDescent="0.3">
      <c r="A58" s="478"/>
      <c r="B58" s="287"/>
      <c r="C58" s="1108" t="s">
        <v>232</v>
      </c>
      <c r="D58" s="1108"/>
      <c r="E58" s="262"/>
      <c r="F58" s="276">
        <f>IF('Gårdens info'!$D$32&gt;0,J58/'Gårdens info'!$D$32,0)</f>
        <v>0</v>
      </c>
      <c r="G58" s="119" t="s">
        <v>57</v>
      </c>
      <c r="H58" s="502">
        <f>IF('Gårdens info'!$G$32&gt;0,F58/'Gårdens info'!$G$32,0)</f>
        <v>0</v>
      </c>
      <c r="I58" s="119" t="s">
        <v>206</v>
      </c>
      <c r="J58" s="237">
        <f>Egendom!CV25</f>
        <v>0</v>
      </c>
      <c r="K58" s="119" t="s">
        <v>718</v>
      </c>
      <c r="L58" s="267"/>
      <c r="M58" s="259"/>
    </row>
    <row r="59" spans="1:26" s="5" customFormat="1" ht="21" x14ac:dyDescent="0.4">
      <c r="A59" s="478"/>
      <c r="B59" s="287"/>
      <c r="C59" s="941" t="s">
        <v>483</v>
      </c>
      <c r="D59" s="942"/>
      <c r="E59" s="262"/>
      <c r="F59" s="276">
        <f>IF('Gårdens info'!$D$32&gt;0,J59/'Gårdens info'!$D$32,0)</f>
        <v>0</v>
      </c>
      <c r="G59" s="119" t="s">
        <v>57</v>
      </c>
      <c r="H59" s="502">
        <f>IF('Gårdens info'!$G$32&gt;0,F59/'Gårdens info'!$G$32,0)</f>
        <v>0</v>
      </c>
      <c r="I59" s="119" t="s">
        <v>206</v>
      </c>
      <c r="J59" s="237">
        <f>Egendom!DT25</f>
        <v>0</v>
      </c>
      <c r="K59" s="119" t="s">
        <v>718</v>
      </c>
      <c r="L59" s="267"/>
      <c r="M59" s="259"/>
    </row>
    <row r="60" spans="1:26" s="5" customFormat="1" ht="20.399999999999999" x14ac:dyDescent="0.35">
      <c r="A60" s="478"/>
      <c r="B60" s="289"/>
      <c r="C60" s="943" t="s">
        <v>54</v>
      </c>
      <c r="D60" s="944"/>
      <c r="E60" s="262"/>
      <c r="F60" s="280">
        <f>SUM(F56:F59)</f>
        <v>0</v>
      </c>
      <c r="G60" s="119" t="s">
        <v>57</v>
      </c>
      <c r="H60" s="509">
        <f t="shared" ref="H60:J60" si="3">SUM(H56:H59)</f>
        <v>0</v>
      </c>
      <c r="I60" s="119" t="s">
        <v>206</v>
      </c>
      <c r="J60" s="280">
        <f t="shared" si="3"/>
        <v>0</v>
      </c>
      <c r="K60" s="119" t="s">
        <v>718</v>
      </c>
      <c r="L60" s="281"/>
      <c r="M60" s="259"/>
    </row>
    <row r="61" spans="1:26" s="5" customFormat="1" ht="21" x14ac:dyDescent="0.4">
      <c r="A61" s="478"/>
      <c r="B61" s="287"/>
      <c r="C61" s="274"/>
      <c r="D61" s="270"/>
      <c r="E61" s="262"/>
      <c r="F61" s="276"/>
      <c r="G61" s="119"/>
      <c r="H61" s="277"/>
      <c r="I61" s="119"/>
      <c r="J61" s="237"/>
      <c r="K61" s="119"/>
      <c r="L61" s="267"/>
      <c r="M61" s="259"/>
    </row>
    <row r="62" spans="1:26" s="5" customFormat="1" ht="19.95" customHeight="1" x14ac:dyDescent="0.3">
      <c r="A62" s="478"/>
      <c r="B62" s="1081" t="s">
        <v>83</v>
      </c>
      <c r="C62" s="1082"/>
      <c r="D62" s="1082"/>
      <c r="E62" s="262"/>
      <c r="F62" s="276"/>
      <c r="G62" s="119"/>
      <c r="H62" s="277"/>
      <c r="I62" s="119"/>
      <c r="J62" s="237"/>
      <c r="K62" s="119"/>
      <c r="L62" s="267"/>
      <c r="M62" s="259"/>
    </row>
    <row r="63" spans="1:26" s="5" customFormat="1" ht="21" x14ac:dyDescent="0.4">
      <c r="A63" s="478"/>
      <c r="B63" s="287"/>
      <c r="C63" s="941" t="s">
        <v>229</v>
      </c>
      <c r="D63" s="942"/>
      <c r="E63" s="262"/>
      <c r="F63" s="276">
        <f>IF('Gårdens info'!$D$32&gt;0,J63/'Gårdens info'!$D$32,0)</f>
        <v>0</v>
      </c>
      <c r="G63" s="119" t="s">
        <v>57</v>
      </c>
      <c r="H63" s="502">
        <f>IF('Gårdens info'!$G$32&gt;0,F63/'Gårdens info'!$G$32,0)</f>
        <v>0</v>
      </c>
      <c r="I63" s="119" t="s">
        <v>206</v>
      </c>
      <c r="J63" s="237">
        <f>Egendom!AZ61</f>
        <v>0</v>
      </c>
      <c r="K63" s="119" t="s">
        <v>718</v>
      </c>
      <c r="L63" s="267"/>
      <c r="M63" s="259"/>
    </row>
    <row r="64" spans="1:26" s="5" customFormat="1" ht="21" x14ac:dyDescent="0.4">
      <c r="A64" s="478"/>
      <c r="B64" s="287"/>
      <c r="C64" s="941" t="s">
        <v>230</v>
      </c>
      <c r="D64" s="942"/>
      <c r="E64" s="262"/>
      <c r="F64" s="276">
        <f>IF('Gårdens info'!$D$32&gt;0,J64/'Gårdens info'!$D$32,0)</f>
        <v>0</v>
      </c>
      <c r="G64" s="119" t="s">
        <v>57</v>
      </c>
      <c r="H64" s="502">
        <f>IF('Gårdens info'!$G$32&gt;0,F64/'Gårdens info'!$G$32,0)</f>
        <v>0</v>
      </c>
      <c r="I64" s="119" t="s">
        <v>206</v>
      </c>
      <c r="J64" s="237">
        <f>Egendom!BX61</f>
        <v>0</v>
      </c>
      <c r="K64" s="119" t="s">
        <v>718</v>
      </c>
      <c r="L64" s="267"/>
      <c r="M64" s="259"/>
    </row>
    <row r="65" spans="1:26" s="5" customFormat="1" ht="17.399999999999999" customHeight="1" x14ac:dyDescent="0.3">
      <c r="A65" s="478"/>
      <c r="B65" s="287"/>
      <c r="C65" s="1108" t="s">
        <v>232</v>
      </c>
      <c r="D65" s="1108"/>
      <c r="E65" s="262"/>
      <c r="F65" s="276">
        <f>IF('Gårdens info'!$D$32&gt;0,J65/'Gårdens info'!$D$32,0)</f>
        <v>0</v>
      </c>
      <c r="G65" s="119" t="s">
        <v>57</v>
      </c>
      <c r="H65" s="502">
        <f>IF('Gårdens info'!$G$32&gt;0,F65/'Gårdens info'!$G$32,0)</f>
        <v>0</v>
      </c>
      <c r="I65" s="119" t="s">
        <v>206</v>
      </c>
      <c r="J65" s="237">
        <f>Egendom!CV61</f>
        <v>0</v>
      </c>
      <c r="K65" s="119" t="s">
        <v>718</v>
      </c>
      <c r="L65" s="267"/>
      <c r="M65" s="259"/>
    </row>
    <row r="66" spans="1:26" s="5" customFormat="1" ht="21" x14ac:dyDescent="0.4">
      <c r="A66" s="478"/>
      <c r="B66" s="287"/>
      <c r="C66" s="941" t="s">
        <v>483</v>
      </c>
      <c r="D66" s="942"/>
      <c r="E66" s="262"/>
      <c r="F66" s="276">
        <f>IF('Gårdens info'!$D$32&gt;0,J66/'Gårdens info'!$D$32,0)</f>
        <v>0</v>
      </c>
      <c r="G66" s="119" t="s">
        <v>57</v>
      </c>
      <c r="H66" s="502">
        <f>IF('Gårdens info'!$G$32&gt;0,F66/'Gårdens info'!$G$32,0)</f>
        <v>0</v>
      </c>
      <c r="I66" s="119" t="s">
        <v>206</v>
      </c>
      <c r="J66" s="237">
        <f>Egendom!DT61</f>
        <v>0</v>
      </c>
      <c r="K66" s="119" t="s">
        <v>718</v>
      </c>
      <c r="L66" s="267"/>
      <c r="M66" s="259"/>
    </row>
    <row r="67" spans="1:26" s="5" customFormat="1" ht="20.399999999999999" x14ac:dyDescent="0.35">
      <c r="A67" s="478"/>
      <c r="B67" s="289"/>
      <c r="C67" s="943" t="s">
        <v>54</v>
      </c>
      <c r="D67" s="944"/>
      <c r="E67" s="262"/>
      <c r="F67" s="280">
        <f>SUM(F63:F66)</f>
        <v>0</v>
      </c>
      <c r="G67" s="119" t="s">
        <v>57</v>
      </c>
      <c r="H67" s="509">
        <f t="shared" ref="H67:J67" si="4">SUM(H63:H66)</f>
        <v>0</v>
      </c>
      <c r="I67" s="119" t="s">
        <v>206</v>
      </c>
      <c r="J67" s="280">
        <f t="shared" si="4"/>
        <v>0</v>
      </c>
      <c r="K67" s="119" t="s">
        <v>718</v>
      </c>
      <c r="L67" s="281"/>
      <c r="M67" s="259"/>
    </row>
    <row r="68" spans="1:26" s="5" customFormat="1" ht="21" x14ac:dyDescent="0.4">
      <c r="A68" s="478"/>
      <c r="B68" s="287"/>
      <c r="C68" s="274"/>
      <c r="D68" s="270"/>
      <c r="E68" s="262"/>
      <c r="F68" s="276"/>
      <c r="G68" s="119"/>
      <c r="H68" s="277"/>
      <c r="I68" s="119"/>
      <c r="J68" s="237"/>
      <c r="K68" s="119"/>
      <c r="L68" s="267"/>
      <c r="M68" s="259"/>
    </row>
    <row r="69" spans="1:26" s="5" customFormat="1" ht="19.95" customHeight="1" x14ac:dyDescent="0.3">
      <c r="A69" s="478"/>
      <c r="B69" s="1081" t="s">
        <v>355</v>
      </c>
      <c r="C69" s="1082"/>
      <c r="D69" s="1082"/>
      <c r="E69" s="262"/>
      <c r="F69" s="276"/>
      <c r="G69" s="119"/>
      <c r="H69" s="277"/>
      <c r="I69" s="119"/>
      <c r="J69" s="237"/>
      <c r="K69" s="119"/>
      <c r="L69" s="267"/>
      <c r="M69" s="259"/>
    </row>
    <row r="70" spans="1:26" s="5" customFormat="1" ht="21" x14ac:dyDescent="0.4">
      <c r="A70" s="478"/>
      <c r="B70" s="287"/>
      <c r="C70" s="941" t="s">
        <v>229</v>
      </c>
      <c r="D70" s="942"/>
      <c r="E70" s="262"/>
      <c r="F70" s="276">
        <f>IF('Gårdens info'!$D$32&gt;0,J70/'Gårdens info'!$D$32,0)</f>
        <v>0</v>
      </c>
      <c r="G70" s="119" t="s">
        <v>57</v>
      </c>
      <c r="H70" s="502">
        <f>IF('Gårdens info'!$G$32&gt;0,F70/'Gårdens info'!$G$32,0)</f>
        <v>0</v>
      </c>
      <c r="I70" s="119" t="s">
        <v>206</v>
      </c>
      <c r="J70" s="237">
        <f>Egendom!AZ90</f>
        <v>0</v>
      </c>
      <c r="K70" s="119" t="s">
        <v>718</v>
      </c>
      <c r="L70" s="267"/>
      <c r="M70" s="259"/>
    </row>
    <row r="71" spans="1:26" s="5" customFormat="1" ht="21" x14ac:dyDescent="0.4">
      <c r="A71" s="478"/>
      <c r="B71" s="287"/>
      <c r="C71" s="941" t="s">
        <v>230</v>
      </c>
      <c r="D71" s="942"/>
      <c r="E71" s="262"/>
      <c r="F71" s="276">
        <f>IF('Gårdens info'!$D$32&gt;0,J71/'Gårdens info'!$D$32,0)</f>
        <v>0</v>
      </c>
      <c r="G71" s="119" t="s">
        <v>57</v>
      </c>
      <c r="H71" s="502">
        <f>IF('Gårdens info'!$G$32&gt;0,F71/'Gårdens info'!$G$32,0)</f>
        <v>0</v>
      </c>
      <c r="I71" s="119" t="s">
        <v>206</v>
      </c>
      <c r="J71" s="237">
        <f>Egendom!BX90</f>
        <v>0</v>
      </c>
      <c r="K71" s="119" t="s">
        <v>718</v>
      </c>
      <c r="L71" s="267"/>
      <c r="M71" s="259"/>
    </row>
    <row r="72" spans="1:26" s="5" customFormat="1" ht="17.399999999999999" customHeight="1" x14ac:dyDescent="0.3">
      <c r="A72" s="478"/>
      <c r="B72" s="287"/>
      <c r="C72" s="1108" t="s">
        <v>232</v>
      </c>
      <c r="D72" s="1108"/>
      <c r="E72" s="262"/>
      <c r="F72" s="276">
        <f>IF('Gårdens info'!$D$32&gt;0,J72/'Gårdens info'!$D$32,0)</f>
        <v>0</v>
      </c>
      <c r="G72" s="119" t="s">
        <v>57</v>
      </c>
      <c r="H72" s="502">
        <f>IF('Gårdens info'!$G$32&gt;0,F72/'Gårdens info'!$G$32,0)</f>
        <v>0</v>
      </c>
      <c r="I72" s="119" t="s">
        <v>206</v>
      </c>
      <c r="J72" s="237">
        <f>Egendom!CV90</f>
        <v>0</v>
      </c>
      <c r="K72" s="119" t="s">
        <v>718</v>
      </c>
      <c r="L72" s="267"/>
      <c r="M72" s="259"/>
    </row>
    <row r="73" spans="1:26" s="5" customFormat="1" ht="21" x14ac:dyDescent="0.4">
      <c r="A73" s="478"/>
      <c r="B73" s="287"/>
      <c r="C73" s="941" t="s">
        <v>483</v>
      </c>
      <c r="D73" s="942"/>
      <c r="E73" s="262"/>
      <c r="F73" s="276">
        <f>IF('Gårdens info'!$D$32&gt;0,J73/'Gårdens info'!$D$32,0)</f>
        <v>0</v>
      </c>
      <c r="G73" s="119" t="s">
        <v>57</v>
      </c>
      <c r="H73" s="502">
        <f>IF('Gårdens info'!$G$32&gt;0,F73/'Gårdens info'!$G$32,0)</f>
        <v>0</v>
      </c>
      <c r="I73" s="119" t="s">
        <v>206</v>
      </c>
      <c r="J73" s="237">
        <f>Egendom!DT90</f>
        <v>0</v>
      </c>
      <c r="K73" s="119" t="s">
        <v>718</v>
      </c>
      <c r="L73" s="267"/>
      <c r="M73" s="259"/>
    </row>
    <row r="74" spans="1:26" s="5" customFormat="1" ht="20.399999999999999" x14ac:dyDescent="0.35">
      <c r="A74" s="478"/>
      <c r="B74" s="289"/>
      <c r="C74" s="943" t="s">
        <v>54</v>
      </c>
      <c r="D74" s="944"/>
      <c r="E74" s="262"/>
      <c r="F74" s="280">
        <f>SUM(F70:F73)</f>
        <v>0</v>
      </c>
      <c r="G74" s="119" t="s">
        <v>57</v>
      </c>
      <c r="H74" s="509">
        <f t="shared" ref="H74:J74" si="5">SUM(H70:H73)</f>
        <v>0</v>
      </c>
      <c r="I74" s="119" t="s">
        <v>206</v>
      </c>
      <c r="J74" s="280">
        <f t="shared" si="5"/>
        <v>0</v>
      </c>
      <c r="K74" s="119" t="s">
        <v>718</v>
      </c>
      <c r="L74" s="281"/>
      <c r="M74" s="259"/>
    </row>
    <row r="75" spans="1:26" s="5" customFormat="1" ht="21" x14ac:dyDescent="0.4">
      <c r="A75" s="478"/>
      <c r="B75" s="287"/>
      <c r="C75" s="274"/>
      <c r="D75" s="270"/>
      <c r="E75" s="262"/>
      <c r="F75" s="276"/>
      <c r="G75" s="119"/>
      <c r="H75" s="277"/>
      <c r="I75" s="119"/>
      <c r="J75" s="237"/>
      <c r="K75" s="119"/>
      <c r="L75" s="267"/>
      <c r="M75" s="259"/>
    </row>
    <row r="76" spans="1:26" s="5" customFormat="1" ht="21" x14ac:dyDescent="0.4">
      <c r="A76" s="478"/>
      <c r="B76" s="1084" t="s">
        <v>139</v>
      </c>
      <c r="C76" s="1085"/>
      <c r="D76" s="270"/>
      <c r="E76" s="262"/>
      <c r="F76" s="276"/>
      <c r="G76" s="119"/>
      <c r="H76" s="277"/>
      <c r="I76" s="119"/>
      <c r="J76" s="237"/>
      <c r="K76" s="119"/>
      <c r="L76" s="267"/>
      <c r="M76" s="259"/>
    </row>
    <row r="77" spans="1:26" s="5" customFormat="1" ht="21" x14ac:dyDescent="0.4">
      <c r="A77" s="478"/>
      <c r="B77" s="287"/>
      <c r="C77" s="941" t="s">
        <v>229</v>
      </c>
      <c r="D77" s="942"/>
      <c r="E77" s="262"/>
      <c r="F77" s="276">
        <f>IF('Gårdens info'!$D$32&gt;0,J77/'Gårdens info'!$D$32,0)</f>
        <v>0</v>
      </c>
      <c r="G77" s="119" t="s">
        <v>57</v>
      </c>
      <c r="H77" s="502">
        <f>IF('Gårdens info'!$G$32&gt;0,F77/'Gårdens info'!$G$32,0)</f>
        <v>0</v>
      </c>
      <c r="I77" s="119" t="s">
        <v>206</v>
      </c>
      <c r="J77" s="237">
        <f>Egendom!AZ93</f>
        <v>0</v>
      </c>
      <c r="K77" s="119" t="s">
        <v>718</v>
      </c>
      <c r="L77" s="267"/>
      <c r="M77" s="259"/>
    </row>
    <row r="78" spans="1:26" s="5" customFormat="1" ht="21" x14ac:dyDescent="0.4">
      <c r="A78" s="478"/>
      <c r="B78" s="287"/>
      <c r="C78" s="941" t="s">
        <v>230</v>
      </c>
      <c r="D78" s="942"/>
      <c r="E78" s="262"/>
      <c r="F78" s="276">
        <f>IF('Gårdens info'!$D$32&gt;0,J78/'Gårdens info'!$D$32,0)</f>
        <v>0</v>
      </c>
      <c r="G78" s="119" t="s">
        <v>57</v>
      </c>
      <c r="H78" s="502">
        <f>IF('Gårdens info'!$G$32&gt;0,F78/'Gårdens info'!$G$32,0)</f>
        <v>0</v>
      </c>
      <c r="I78" s="119" t="s">
        <v>206</v>
      </c>
      <c r="J78" s="237">
        <f>Egendom!BX93</f>
        <v>0</v>
      </c>
      <c r="K78" s="119" t="s">
        <v>718</v>
      </c>
      <c r="L78" s="267"/>
      <c r="M78" s="259"/>
    </row>
    <row r="79" spans="1:26" s="5" customFormat="1" ht="17.399999999999999" customHeight="1" x14ac:dyDescent="0.3">
      <c r="A79" s="478"/>
      <c r="B79" s="287"/>
      <c r="C79" s="1108" t="s">
        <v>232</v>
      </c>
      <c r="D79" s="1108"/>
      <c r="E79" s="262"/>
      <c r="F79" s="276">
        <f>IF('Gårdens info'!$D$32&gt;0,J79/'Gårdens info'!$D$32,0)</f>
        <v>0</v>
      </c>
      <c r="G79" s="119" t="s">
        <v>57</v>
      </c>
      <c r="H79" s="502">
        <f>IF('Gårdens info'!$G$32&gt;0,F79/'Gårdens info'!$G$32,0)</f>
        <v>0</v>
      </c>
      <c r="I79" s="119" t="s">
        <v>206</v>
      </c>
      <c r="J79" s="237">
        <f>Egendom!CV93</f>
        <v>0</v>
      </c>
      <c r="K79" s="119" t="s">
        <v>718</v>
      </c>
      <c r="L79" s="267"/>
      <c r="M79" s="259"/>
    </row>
    <row r="80" spans="1:26" s="194" customFormat="1" ht="18" x14ac:dyDescent="0.35">
      <c r="A80" s="482"/>
      <c r="B80" s="286"/>
      <c r="C80" s="943" t="s">
        <v>54</v>
      </c>
      <c r="D80" s="261"/>
      <c r="E80" s="261"/>
      <c r="F80" s="280">
        <f>SUM(F77:F79)</f>
        <v>0</v>
      </c>
      <c r="G80" s="119" t="s">
        <v>57</v>
      </c>
      <c r="H80" s="509">
        <f t="shared" ref="H80:J80" si="6">SUM(H77:H79)</f>
        <v>0</v>
      </c>
      <c r="I80" s="119" t="s">
        <v>206</v>
      </c>
      <c r="J80" s="280">
        <f t="shared" si="6"/>
        <v>0</v>
      </c>
      <c r="K80" s="119" t="s">
        <v>718</v>
      </c>
      <c r="L80" s="284"/>
      <c r="M80" s="290"/>
      <c r="N80" s="5"/>
      <c r="O80" s="5"/>
      <c r="P80" s="5"/>
      <c r="Q80" s="5"/>
      <c r="R80" s="5"/>
      <c r="S80" s="5"/>
      <c r="T80" s="5"/>
      <c r="U80" s="5"/>
      <c r="Y80" s="5"/>
      <c r="Z80" s="5"/>
    </row>
    <row r="81" spans="1:26" s="5" customFormat="1" ht="21" customHeight="1" x14ac:dyDescent="0.4">
      <c r="A81" s="478"/>
      <c r="B81" s="1061" t="s">
        <v>191</v>
      </c>
      <c r="C81" s="1043"/>
      <c r="D81" s="1043"/>
      <c r="E81" s="262"/>
      <c r="F81" s="266">
        <f>F60+F67+F74+F80</f>
        <v>0</v>
      </c>
      <c r="G81" s="267" t="s">
        <v>57</v>
      </c>
      <c r="H81" s="507">
        <f>H60+H67+H74+H80</f>
        <v>0</v>
      </c>
      <c r="I81" s="267" t="s">
        <v>206</v>
      </c>
      <c r="J81" s="269">
        <f>J60+J67+J74+J80</f>
        <v>0</v>
      </c>
      <c r="K81" s="267" t="s">
        <v>718</v>
      </c>
      <c r="L81" s="267"/>
      <c r="M81" s="259"/>
      <c r="N81" s="194"/>
      <c r="O81" s="194"/>
      <c r="P81" s="194"/>
      <c r="Q81" s="194"/>
      <c r="R81" s="194"/>
      <c r="S81" s="194"/>
      <c r="T81" s="194"/>
      <c r="U81" s="194"/>
      <c r="Y81" s="194"/>
      <c r="Z81" s="194"/>
    </row>
    <row r="82" spans="1:26" s="5" customFormat="1" ht="40.950000000000003" customHeight="1" x14ac:dyDescent="0.3">
      <c r="A82" s="478"/>
      <c r="B82" s="286"/>
      <c r="C82" s="262"/>
      <c r="D82" s="262"/>
      <c r="E82" s="262"/>
      <c r="F82" s="263"/>
      <c r="G82" s="243"/>
      <c r="H82" s="264"/>
      <c r="I82" s="243"/>
      <c r="J82" s="258"/>
      <c r="K82" s="243"/>
      <c r="L82" s="265"/>
      <c r="M82" s="259"/>
    </row>
    <row r="83" spans="1:26" s="5" customFormat="1" ht="21" x14ac:dyDescent="0.4">
      <c r="A83" s="478"/>
      <c r="B83" s="257" t="s">
        <v>192</v>
      </c>
      <c r="C83" s="262"/>
      <c r="D83" s="262"/>
      <c r="E83" s="262"/>
      <c r="F83" s="263"/>
      <c r="G83" s="243"/>
      <c r="H83" s="264"/>
      <c r="I83" s="243"/>
      <c r="J83" s="258"/>
      <c r="K83" s="243"/>
      <c r="L83" s="265"/>
      <c r="M83" s="259"/>
    </row>
    <row r="84" spans="1:26" s="56" customFormat="1" ht="17.399999999999999" x14ac:dyDescent="0.3">
      <c r="A84" s="479"/>
      <c r="B84" s="1148" t="s">
        <v>564</v>
      </c>
      <c r="C84" s="1149"/>
      <c r="D84" s="1149"/>
      <c r="E84" s="120"/>
      <c r="F84" s="120"/>
      <c r="G84" s="120"/>
      <c r="H84" s="120"/>
      <c r="I84" s="120"/>
      <c r="J84" s="233"/>
      <c r="K84" s="120"/>
      <c r="L84" s="120"/>
      <c r="M84" s="234"/>
      <c r="N84" s="5"/>
      <c r="O84" s="5"/>
      <c r="P84" s="5"/>
      <c r="Q84" s="5"/>
      <c r="R84" s="5"/>
      <c r="S84" s="5"/>
      <c r="T84" s="5"/>
      <c r="U84" s="5"/>
      <c r="Y84" s="5"/>
      <c r="Z84" s="5"/>
    </row>
    <row r="85" spans="1:26" s="69" customFormat="1" ht="17.399999999999999" x14ac:dyDescent="0.3">
      <c r="A85" s="480"/>
      <c r="B85" s="235"/>
      <c r="C85" s="228" t="s">
        <v>192</v>
      </c>
      <c r="D85" s="236"/>
      <c r="E85" s="236"/>
      <c r="F85" s="237">
        <f>IF('Gårdens info'!D32&gt;0,H179/'Gårdens info'!I32,0)</f>
        <v>0</v>
      </c>
      <c r="G85" s="119" t="s">
        <v>57</v>
      </c>
      <c r="H85" s="503">
        <f>IF('Gårdens info'!G32&gt;0,F85/'Gårdens info'!$G$32,0)</f>
        <v>0</v>
      </c>
      <c r="I85" s="119" t="s">
        <v>206</v>
      </c>
      <c r="J85" s="237">
        <f>F85*'Gårdens info'!D32</f>
        <v>0</v>
      </c>
      <c r="K85" s="119" t="s">
        <v>718</v>
      </c>
      <c r="L85" s="236"/>
      <c r="M85" s="239"/>
      <c r="N85" s="56"/>
      <c r="O85" s="56"/>
      <c r="P85" s="56"/>
      <c r="Q85" s="56"/>
      <c r="R85" s="56"/>
      <c r="S85" s="56"/>
      <c r="T85" s="56"/>
      <c r="U85" s="56"/>
      <c r="Y85" s="56"/>
      <c r="Z85" s="56"/>
    </row>
    <row r="86" spans="1:26" s="5" customFormat="1" ht="15.6" x14ac:dyDescent="0.3">
      <c r="A86" s="478"/>
      <c r="B86" s="286"/>
      <c r="C86" s="262"/>
      <c r="D86" s="262"/>
      <c r="E86" s="262"/>
      <c r="F86" s="263"/>
      <c r="G86" s="243"/>
      <c r="H86" s="264"/>
      <c r="I86" s="243"/>
      <c r="J86" s="258"/>
      <c r="K86" s="243"/>
      <c r="L86" s="265"/>
      <c r="M86" s="259"/>
      <c r="N86" s="69"/>
      <c r="O86" s="69"/>
      <c r="P86" s="69"/>
      <c r="Q86" s="69"/>
      <c r="R86" s="69"/>
      <c r="S86" s="69"/>
      <c r="T86" s="69"/>
      <c r="U86" s="69"/>
      <c r="Y86" s="69"/>
      <c r="Z86" s="69"/>
    </row>
    <row r="87" spans="1:26" s="56" customFormat="1" ht="17.399999999999999" x14ac:dyDescent="0.3">
      <c r="A87" s="479"/>
      <c r="B87" s="1148" t="s">
        <v>723</v>
      </c>
      <c r="C87" s="1149"/>
      <c r="D87" s="1149"/>
      <c r="E87" s="120"/>
      <c r="F87" s="120"/>
      <c r="G87" s="120"/>
      <c r="H87" s="120"/>
      <c r="I87" s="120"/>
      <c r="J87" s="233"/>
      <c r="K87" s="120"/>
      <c r="L87" s="120"/>
      <c r="M87" s="234"/>
      <c r="N87" s="5"/>
      <c r="O87" s="5"/>
      <c r="P87" s="5"/>
      <c r="Q87" s="5"/>
      <c r="R87" s="5"/>
      <c r="S87" s="5"/>
      <c r="T87" s="5"/>
      <c r="U87" s="5"/>
      <c r="Y87" s="5"/>
      <c r="Z87" s="5"/>
    </row>
    <row r="88" spans="1:26" s="69" customFormat="1" ht="17.399999999999999" x14ac:dyDescent="0.3">
      <c r="A88" s="480"/>
      <c r="B88" s="235"/>
      <c r="C88" s="228" t="s">
        <v>192</v>
      </c>
      <c r="D88" s="236"/>
      <c r="E88" s="236"/>
      <c r="F88" s="237">
        <f>IF('Gårdens info'!D32&gt;0,H253*'Gårdens info'!K32/'Gårdens info'!I32,0)</f>
        <v>0</v>
      </c>
      <c r="G88" s="119" t="s">
        <v>57</v>
      </c>
      <c r="H88" s="503">
        <f>IF('Gårdens info'!G32&gt;0,F88/'Gårdens info'!$G$32,0)</f>
        <v>0</v>
      </c>
      <c r="I88" s="119" t="s">
        <v>206</v>
      </c>
      <c r="J88" s="237">
        <f>F88*'Gårdens info'!D32</f>
        <v>0</v>
      </c>
      <c r="K88" s="119" t="s">
        <v>718</v>
      </c>
      <c r="L88" s="236"/>
      <c r="M88" s="239"/>
      <c r="N88" s="56"/>
      <c r="O88" s="56"/>
      <c r="P88" s="56"/>
      <c r="Q88" s="56"/>
      <c r="R88" s="56"/>
      <c r="S88" s="56"/>
      <c r="T88" s="56"/>
      <c r="U88" s="56"/>
      <c r="Y88" s="56"/>
      <c r="Z88" s="56"/>
    </row>
    <row r="89" spans="1:26" s="5" customFormat="1" ht="15.6" x14ac:dyDescent="0.3">
      <c r="A89" s="478"/>
      <c r="B89" s="286"/>
      <c r="C89" s="262"/>
      <c r="D89" s="262"/>
      <c r="E89" s="262"/>
      <c r="F89" s="263"/>
      <c r="G89" s="243"/>
      <c r="H89" s="264"/>
      <c r="I89" s="243"/>
      <c r="J89" s="258"/>
      <c r="K89" s="243"/>
      <c r="L89" s="265"/>
      <c r="M89" s="259"/>
      <c r="N89" s="69"/>
      <c r="O89" s="69"/>
      <c r="P89" s="69"/>
      <c r="Q89" s="69"/>
      <c r="R89" s="69"/>
      <c r="S89" s="69"/>
      <c r="T89" s="69"/>
      <c r="U89" s="69"/>
      <c r="Y89" s="69"/>
      <c r="Z89" s="69"/>
    </row>
    <row r="90" spans="1:26" s="56" customFormat="1" ht="17.399999999999999" x14ac:dyDescent="0.3">
      <c r="A90" s="479"/>
      <c r="B90" s="1151" t="s">
        <v>240</v>
      </c>
      <c r="C90" s="1152"/>
      <c r="D90" s="1152"/>
      <c r="E90" s="249"/>
      <c r="F90" s="250"/>
      <c r="G90" s="120"/>
      <c r="H90" s="249"/>
      <c r="I90" s="249"/>
      <c r="J90" s="249"/>
      <c r="K90" s="249"/>
      <c r="L90" s="249"/>
      <c r="M90" s="234"/>
      <c r="N90" s="5"/>
      <c r="O90" s="5"/>
      <c r="P90" s="5"/>
      <c r="Q90" s="5"/>
      <c r="R90" s="5"/>
      <c r="S90" s="5"/>
      <c r="T90" s="5"/>
      <c r="U90" s="5"/>
      <c r="Y90" s="5"/>
      <c r="Z90" s="5"/>
    </row>
    <row r="91" spans="1:26" s="69" customFormat="1" ht="17.399999999999999" x14ac:dyDescent="0.3">
      <c r="A91" s="480"/>
      <c r="B91" s="235"/>
      <c r="C91" s="228" t="s">
        <v>192</v>
      </c>
      <c r="D91" s="236"/>
      <c r="E91" s="236"/>
      <c r="F91" s="237">
        <f>IF('Gårdens info'!D32&gt;0,H347,0)</f>
        <v>0</v>
      </c>
      <c r="G91" s="119" t="s">
        <v>57</v>
      </c>
      <c r="H91" s="503">
        <f>IF('Gårdens info'!G32&gt;0,F91/'Gårdens info'!$G$32,0)</f>
        <v>0</v>
      </c>
      <c r="I91" s="119" t="s">
        <v>206</v>
      </c>
      <c r="J91" s="237">
        <f>F91*'Gårdens info'!D32</f>
        <v>0</v>
      </c>
      <c r="K91" s="119" t="s">
        <v>718</v>
      </c>
      <c r="L91" s="236"/>
      <c r="M91" s="239"/>
      <c r="N91" s="56"/>
      <c r="O91" s="56"/>
      <c r="P91" s="56"/>
      <c r="Q91" s="56"/>
      <c r="R91" s="56"/>
      <c r="S91" s="56"/>
      <c r="T91" s="56"/>
      <c r="U91" s="56"/>
      <c r="Y91" s="56"/>
      <c r="Z91" s="56"/>
    </row>
    <row r="92" spans="1:26" s="56" customFormat="1" ht="17.399999999999999" x14ac:dyDescent="0.3">
      <c r="A92" s="479"/>
      <c r="B92" s="248"/>
      <c r="C92" s="245"/>
      <c r="D92" s="249"/>
      <c r="E92" s="249"/>
      <c r="F92" s="250"/>
      <c r="G92" s="120"/>
      <c r="H92" s="249"/>
      <c r="I92" s="249"/>
      <c r="J92" s="249"/>
      <c r="K92" s="249"/>
      <c r="L92" s="249"/>
      <c r="M92" s="234"/>
      <c r="N92" s="69"/>
      <c r="O92" s="69"/>
      <c r="P92" s="69"/>
      <c r="Q92" s="69"/>
      <c r="R92" s="69"/>
      <c r="S92" s="69"/>
      <c r="T92" s="69"/>
      <c r="U92" s="69"/>
      <c r="Y92" s="69"/>
      <c r="Z92" s="69"/>
    </row>
    <row r="93" spans="1:26" ht="27" customHeight="1" x14ac:dyDescent="0.3">
      <c r="B93" s="501" t="s">
        <v>581</v>
      </c>
      <c r="C93" s="245"/>
      <c r="D93" s="246"/>
      <c r="E93" s="246"/>
      <c r="F93" s="246"/>
      <c r="G93" s="246"/>
      <c r="H93" s="246"/>
      <c r="I93" s="246"/>
      <c r="J93" s="246"/>
      <c r="K93" s="246"/>
      <c r="L93" s="246"/>
      <c r="M93" s="226"/>
      <c r="N93" s="56"/>
      <c r="O93" s="56"/>
      <c r="P93" s="56"/>
      <c r="Q93" s="56"/>
      <c r="R93" s="56"/>
      <c r="S93" s="56"/>
      <c r="T93" s="56"/>
      <c r="U93" s="56"/>
      <c r="Y93" s="56"/>
      <c r="Z93" s="56"/>
    </row>
    <row r="94" spans="1:26" s="69" customFormat="1" ht="15" x14ac:dyDescent="0.25">
      <c r="A94" s="480"/>
      <c r="B94" s="235"/>
      <c r="C94" s="228" t="s">
        <v>192</v>
      </c>
      <c r="D94" s="236"/>
      <c r="E94" s="236"/>
      <c r="F94" s="237">
        <f>IF('Gårdens info'!D32&gt;0,H397/'Gårdens info'!I32,0)</f>
        <v>0</v>
      </c>
      <c r="G94" s="119" t="s">
        <v>57</v>
      </c>
      <c r="H94" s="503">
        <f>IF('Gårdens info'!G32&gt;0,F94/'Gårdens info'!$G$32,0)</f>
        <v>0</v>
      </c>
      <c r="I94" s="119" t="s">
        <v>206</v>
      </c>
      <c r="J94" s="237">
        <f>F94*'Gårdens info'!D32</f>
        <v>0</v>
      </c>
      <c r="K94" s="119" t="s">
        <v>718</v>
      </c>
      <c r="L94" s="236"/>
      <c r="M94" s="239"/>
      <c r="N94"/>
      <c r="O94"/>
      <c r="P94"/>
      <c r="Q94"/>
      <c r="R94"/>
      <c r="S94"/>
      <c r="T94"/>
      <c r="U94"/>
      <c r="Y94"/>
      <c r="Z94"/>
    </row>
    <row r="95" spans="1:26" s="5" customFormat="1" ht="21" customHeight="1" x14ac:dyDescent="0.4">
      <c r="A95" s="478"/>
      <c r="B95" s="345" t="s">
        <v>194</v>
      </c>
      <c r="C95" s="346"/>
      <c r="D95" s="346"/>
      <c r="E95" s="262"/>
      <c r="F95" s="266">
        <f>F85+F88+F91+F94</f>
        <v>0</v>
      </c>
      <c r="G95" s="267" t="s">
        <v>57</v>
      </c>
      <c r="H95" s="507">
        <f>H85+H88+H91+H94</f>
        <v>0</v>
      </c>
      <c r="I95" s="267" t="s">
        <v>206</v>
      </c>
      <c r="J95" s="269">
        <f>J85+J88+J91+J94</f>
        <v>0</v>
      </c>
      <c r="K95" s="267" t="s">
        <v>718</v>
      </c>
      <c r="L95" s="267"/>
      <c r="M95" s="259"/>
      <c r="N95" s="69"/>
      <c r="O95" s="69"/>
      <c r="P95" s="69"/>
      <c r="Q95" s="69"/>
      <c r="R95" s="69"/>
      <c r="S95" s="69"/>
      <c r="T95" s="69"/>
      <c r="U95" s="69"/>
      <c r="Y95" s="69"/>
      <c r="Z95" s="69"/>
    </row>
    <row r="96" spans="1:26" s="5" customFormat="1" ht="21" x14ac:dyDescent="0.4">
      <c r="A96" s="478"/>
      <c r="B96" s="288"/>
      <c r="C96" s="270"/>
      <c r="D96" s="270"/>
      <c r="E96" s="262"/>
      <c r="F96" s="266"/>
      <c r="G96" s="267"/>
      <c r="H96" s="507"/>
      <c r="I96" s="267"/>
      <c r="J96" s="269"/>
      <c r="K96" s="267"/>
      <c r="L96" s="267"/>
      <c r="M96" s="259"/>
      <c r="Y96" s="69"/>
      <c r="Z96" s="69"/>
    </row>
    <row r="97" spans="1:26" s="5" customFormat="1" ht="21" customHeight="1" x14ac:dyDescent="0.4">
      <c r="A97" s="478"/>
      <c r="B97" s="1061" t="s">
        <v>195</v>
      </c>
      <c r="C97" s="1043"/>
      <c r="D97" s="1043"/>
      <c r="E97" s="262"/>
      <c r="F97" s="266">
        <f>F52+F81+F95</f>
        <v>0</v>
      </c>
      <c r="G97" s="267" t="s">
        <v>57</v>
      </c>
      <c r="H97" s="572">
        <f>H52+H81+H95</f>
        <v>0</v>
      </c>
      <c r="I97" s="267" t="s">
        <v>206</v>
      </c>
      <c r="J97" s="266">
        <f>J52+J81+J95</f>
        <v>0</v>
      </c>
      <c r="K97" s="267" t="s">
        <v>718</v>
      </c>
      <c r="L97" s="267"/>
      <c r="M97" s="259"/>
      <c r="Y97" s="69"/>
      <c r="Z97" s="69"/>
    </row>
    <row r="98" spans="1:26" s="5" customFormat="1" ht="21" x14ac:dyDescent="0.4">
      <c r="A98" s="478"/>
      <c r="B98" s="288"/>
      <c r="C98" s="270"/>
      <c r="D98" s="270"/>
      <c r="E98" s="262"/>
      <c r="F98" s="266"/>
      <c r="G98" s="267"/>
      <c r="H98" s="268"/>
      <c r="I98" s="267"/>
      <c r="J98" s="269"/>
      <c r="K98" s="267"/>
      <c r="L98" s="267"/>
      <c r="M98" s="259"/>
    </row>
    <row r="99" spans="1:26" s="5" customFormat="1" ht="21.6" customHeight="1" thickBot="1" x14ac:dyDescent="0.45">
      <c r="A99" s="478"/>
      <c r="B99" s="1059" t="s">
        <v>198</v>
      </c>
      <c r="C99" s="1060"/>
      <c r="D99" s="1060"/>
      <c r="E99" s="253"/>
      <c r="F99" s="292">
        <f>F11-F52-F81-F95</f>
        <v>0</v>
      </c>
      <c r="G99" s="293" t="s">
        <v>57</v>
      </c>
      <c r="H99" s="510">
        <f>H11-H52-H81-H95</f>
        <v>3.25</v>
      </c>
      <c r="I99" s="293" t="s">
        <v>206</v>
      </c>
      <c r="J99" s="292">
        <f>J11-J52-J81-J95</f>
        <v>0</v>
      </c>
      <c r="K99" s="293" t="s">
        <v>718</v>
      </c>
      <c r="L99" s="293"/>
      <c r="M99" s="254"/>
    </row>
    <row r="100" spans="1:26" ht="57" customHeight="1" thickBot="1" x14ac:dyDescent="0.45">
      <c r="B100" s="444"/>
      <c r="C100" s="116"/>
      <c r="D100" s="116"/>
      <c r="E100" s="116"/>
      <c r="F100" s="116"/>
      <c r="G100" s="116"/>
      <c r="H100" s="116"/>
      <c r="I100" s="116"/>
      <c r="J100" s="116"/>
      <c r="K100" s="116"/>
      <c r="L100" s="116"/>
      <c r="M100" s="116"/>
      <c r="N100" s="5"/>
      <c r="O100" s="5"/>
      <c r="P100" s="5"/>
      <c r="Q100" s="5"/>
      <c r="R100" s="5"/>
      <c r="S100" s="5"/>
      <c r="T100" s="5"/>
      <c r="U100" s="5"/>
      <c r="Y100" s="5"/>
      <c r="Z100" s="5"/>
    </row>
    <row r="101" spans="1:26" ht="22.95" customHeight="1" thickBot="1" x14ac:dyDescent="0.45">
      <c r="B101" s="1129" t="s">
        <v>564</v>
      </c>
      <c r="C101" s="1130"/>
      <c r="D101" s="1130"/>
      <c r="E101" s="1131"/>
      <c r="F101" s="116"/>
      <c r="G101" s="116"/>
      <c r="H101" s="116"/>
      <c r="I101" s="116"/>
      <c r="J101" s="1140" t="s">
        <v>241</v>
      </c>
      <c r="K101" s="1140"/>
      <c r="L101" s="1140"/>
      <c r="M101" s="116"/>
    </row>
    <row r="102" spans="1:26" ht="28.2" customHeight="1" x14ac:dyDescent="0.4">
      <c r="B102" s="438"/>
      <c r="C102" s="438"/>
      <c r="D102" s="438"/>
      <c r="E102" s="438"/>
      <c r="F102" s="116"/>
      <c r="G102" s="116"/>
      <c r="H102" s="116"/>
      <c r="I102" s="116"/>
      <c r="J102" s="116"/>
      <c r="K102" s="116"/>
      <c r="L102" s="116"/>
      <c r="M102" s="116"/>
    </row>
    <row r="103" spans="1:26" ht="15.6" x14ac:dyDescent="0.3">
      <c r="B103" s="89" t="s">
        <v>592</v>
      </c>
      <c r="C103" s="44"/>
      <c r="D103" s="44"/>
      <c r="E103" s="44"/>
      <c r="F103" s="1077" t="s">
        <v>114</v>
      </c>
      <c r="G103" s="1077"/>
      <c r="H103" s="1077" t="s">
        <v>113</v>
      </c>
      <c r="I103" s="1077"/>
      <c r="J103" s="1077" t="s">
        <v>243</v>
      </c>
      <c r="K103" s="1077"/>
      <c r="L103" s="111" t="s">
        <v>244</v>
      </c>
      <c r="M103" s="46"/>
    </row>
    <row r="104" spans="1:26" ht="13.8" thickBot="1" x14ac:dyDescent="0.3">
      <c r="B104" s="48"/>
      <c r="C104" s="44"/>
      <c r="D104" s="44"/>
      <c r="E104" s="44"/>
      <c r="F104" s="44"/>
      <c r="G104" s="44"/>
      <c r="H104" s="44"/>
      <c r="I104" s="44"/>
      <c r="J104" s="46"/>
      <c r="K104" s="46"/>
      <c r="L104" s="46"/>
      <c r="M104" s="46"/>
    </row>
    <row r="105" spans="1:26" ht="13.8" thickBot="1" x14ac:dyDescent="0.3">
      <c r="B105" s="44"/>
      <c r="C105" s="45" t="s">
        <v>724</v>
      </c>
      <c r="D105" s="46"/>
      <c r="E105" s="44"/>
      <c r="F105" s="94">
        <v>4100</v>
      </c>
      <c r="G105" s="44" t="s">
        <v>647</v>
      </c>
      <c r="H105" s="73">
        <v>2.5</v>
      </c>
      <c r="I105" s="49" t="s">
        <v>74</v>
      </c>
      <c r="J105" s="191">
        <f>F105*H105</f>
        <v>10250</v>
      </c>
      <c r="K105" s="44" t="s">
        <v>57</v>
      </c>
      <c r="L105" s="44" t="s">
        <v>725</v>
      </c>
      <c r="M105" s="46"/>
    </row>
    <row r="106" spans="1:26" ht="13.8" thickBot="1" x14ac:dyDescent="0.3">
      <c r="B106" s="44"/>
      <c r="C106" s="44" t="s">
        <v>726</v>
      </c>
      <c r="D106" s="45"/>
      <c r="E106" s="44"/>
      <c r="F106" s="94"/>
      <c r="G106" s="44" t="s">
        <v>647</v>
      </c>
      <c r="H106" s="73"/>
      <c r="I106" s="49" t="s">
        <v>74</v>
      </c>
      <c r="J106" s="191">
        <f t="shared" ref="J106:J109" si="7">F106*H106</f>
        <v>0</v>
      </c>
      <c r="K106" s="44" t="s">
        <v>57</v>
      </c>
      <c r="L106" s="46"/>
      <c r="M106" s="46"/>
    </row>
    <row r="107" spans="1:26" ht="13.8" thickBot="1" x14ac:dyDescent="0.3">
      <c r="B107" s="44"/>
      <c r="C107" s="44" t="s">
        <v>726</v>
      </c>
      <c r="D107" s="45"/>
      <c r="E107" s="44"/>
      <c r="F107" s="94"/>
      <c r="G107" s="44" t="s">
        <v>647</v>
      </c>
      <c r="H107" s="73"/>
      <c r="I107" s="49" t="s">
        <v>74</v>
      </c>
      <c r="J107" s="191">
        <f t="shared" si="7"/>
        <v>0</v>
      </c>
      <c r="K107" s="44" t="s">
        <v>57</v>
      </c>
      <c r="L107" s="46"/>
      <c r="M107" s="46"/>
    </row>
    <row r="108" spans="1:26" ht="13.8" thickBot="1" x14ac:dyDescent="0.3">
      <c r="B108" s="44"/>
      <c r="C108" s="44"/>
      <c r="D108" s="50"/>
      <c r="E108" s="44"/>
      <c r="F108" s="44"/>
      <c r="G108" s="44"/>
      <c r="H108" s="49"/>
      <c r="I108" s="49"/>
      <c r="J108" s="191"/>
      <c r="K108" s="44"/>
      <c r="L108" s="46"/>
      <c r="M108" s="46"/>
    </row>
    <row r="109" spans="1:26" ht="13.8" thickBot="1" x14ac:dyDescent="0.3">
      <c r="B109" s="44"/>
      <c r="C109" s="44" t="s">
        <v>727</v>
      </c>
      <c r="D109" s="50"/>
      <c r="E109" s="44"/>
      <c r="F109" s="94">
        <v>20</v>
      </c>
      <c r="G109" s="44" t="s">
        <v>8</v>
      </c>
      <c r="H109" s="77">
        <v>4</v>
      </c>
      <c r="I109" s="49" t="s">
        <v>206</v>
      </c>
      <c r="J109" s="191">
        <f t="shared" si="7"/>
        <v>80</v>
      </c>
      <c r="K109" s="44" t="s">
        <v>57</v>
      </c>
      <c r="L109" s="46"/>
      <c r="M109" s="46"/>
    </row>
    <row r="110" spans="1:26" ht="13.8" thickBot="1" x14ac:dyDescent="0.3">
      <c r="B110" s="44"/>
      <c r="C110" s="44" t="s">
        <v>598</v>
      </c>
      <c r="D110" s="50"/>
      <c r="E110" s="44"/>
      <c r="F110" s="94"/>
      <c r="G110" s="44" t="s">
        <v>8</v>
      </c>
      <c r="H110" s="77"/>
      <c r="I110" s="49" t="s">
        <v>206</v>
      </c>
      <c r="J110" s="191"/>
      <c r="K110" s="44" t="s">
        <v>57</v>
      </c>
      <c r="L110" s="46"/>
      <c r="M110" s="46"/>
    </row>
    <row r="111" spans="1:26" s="5" customFormat="1" x14ac:dyDescent="0.25">
      <c r="A111" s="478"/>
      <c r="B111" s="50"/>
      <c r="C111" s="50" t="s">
        <v>54</v>
      </c>
      <c r="D111" s="50"/>
      <c r="E111" s="50"/>
      <c r="F111" s="218"/>
      <c r="G111" s="50"/>
      <c r="H111" s="219"/>
      <c r="I111" s="219"/>
      <c r="J111" s="220">
        <f>SUM(J105:J110)</f>
        <v>10330</v>
      </c>
      <c r="K111" s="50" t="s">
        <v>57</v>
      </c>
      <c r="L111" s="50"/>
      <c r="M111" s="50"/>
      <c r="N111"/>
      <c r="O111"/>
      <c r="P111"/>
      <c r="Q111"/>
      <c r="R111"/>
      <c r="S111"/>
      <c r="T111"/>
      <c r="U111"/>
      <c r="Y111"/>
      <c r="Z111"/>
    </row>
    <row r="112" spans="1:26" x14ac:dyDescent="0.25">
      <c r="B112" s="44"/>
      <c r="C112" s="44"/>
      <c r="D112" s="50"/>
      <c r="E112" s="44"/>
      <c r="F112" s="47"/>
      <c r="G112" s="44"/>
      <c r="H112" s="49"/>
      <c r="I112" s="49"/>
      <c r="J112" s="46"/>
      <c r="K112" s="44"/>
      <c r="L112" s="46"/>
      <c r="M112" s="46"/>
      <c r="N112" s="5"/>
      <c r="O112" s="5"/>
      <c r="P112" s="5"/>
      <c r="Q112" s="5"/>
      <c r="R112" s="5"/>
      <c r="S112" s="5"/>
      <c r="T112" s="5"/>
      <c r="U112" s="5"/>
      <c r="Y112" s="5"/>
      <c r="Z112" s="5"/>
    </row>
    <row r="113" spans="1:26" ht="37.200000000000003" customHeight="1" x14ac:dyDescent="0.25">
      <c r="B113" s="435"/>
      <c r="C113" s="435"/>
      <c r="D113" s="436"/>
      <c r="E113" s="435"/>
      <c r="F113" s="435"/>
      <c r="G113" s="435"/>
      <c r="H113" s="437"/>
      <c r="I113" s="437"/>
      <c r="J113" s="116"/>
      <c r="K113" s="116"/>
      <c r="L113" s="116"/>
      <c r="M113" s="116"/>
    </row>
    <row r="114" spans="1:26" ht="15.6" x14ac:dyDescent="0.3">
      <c r="B114" s="96" t="s">
        <v>672</v>
      </c>
      <c r="C114" s="97"/>
      <c r="D114" s="97"/>
      <c r="E114" s="97"/>
      <c r="F114" s="1074" t="s">
        <v>114</v>
      </c>
      <c r="G114" s="1074"/>
      <c r="H114" s="1074" t="s">
        <v>113</v>
      </c>
      <c r="I114" s="1074"/>
      <c r="J114" s="1074" t="s">
        <v>243</v>
      </c>
      <c r="K114" s="1074"/>
      <c r="L114" s="99"/>
      <c r="M114" s="99"/>
    </row>
    <row r="115" spans="1:26" ht="13.8" thickBot="1" x14ac:dyDescent="0.3">
      <c r="B115" s="97"/>
      <c r="C115" s="97"/>
      <c r="D115" s="97"/>
      <c r="E115" s="97"/>
      <c r="F115" s="97"/>
      <c r="G115" s="97"/>
      <c r="H115" s="98"/>
      <c r="I115" s="98"/>
      <c r="J115" s="99"/>
      <c r="K115" s="99"/>
      <c r="L115" s="99"/>
      <c r="M115" s="99"/>
    </row>
    <row r="116" spans="1:26" ht="13.8" thickBot="1" x14ac:dyDescent="0.3">
      <c r="B116" s="97"/>
      <c r="C116" s="97" t="s">
        <v>358</v>
      </c>
      <c r="D116" s="99"/>
      <c r="E116" s="97"/>
      <c r="F116" s="94">
        <v>300</v>
      </c>
      <c r="G116" s="97" t="s">
        <v>212</v>
      </c>
      <c r="H116" s="77">
        <v>0.95</v>
      </c>
      <c r="I116" s="98" t="s">
        <v>206</v>
      </c>
      <c r="J116" s="190">
        <f>F116*H116</f>
        <v>285</v>
      </c>
      <c r="K116" s="97" t="s">
        <v>57</v>
      </c>
      <c r="L116" s="99"/>
      <c r="M116" s="99"/>
    </row>
    <row r="117" spans="1:26" ht="13.8" thickBot="1" x14ac:dyDescent="0.3">
      <c r="B117" s="97"/>
      <c r="C117" s="97" t="s">
        <v>728</v>
      </c>
      <c r="D117" s="99"/>
      <c r="E117" s="97"/>
      <c r="F117" s="94">
        <v>7000</v>
      </c>
      <c r="G117" s="97" t="s">
        <v>212</v>
      </c>
      <c r="H117" s="77">
        <v>0.46</v>
      </c>
      <c r="I117" s="98" t="s">
        <v>206</v>
      </c>
      <c r="J117" s="190">
        <f t="shared" ref="J117:J119" si="8">F117*H117</f>
        <v>3220</v>
      </c>
      <c r="K117" s="97" t="s">
        <v>57</v>
      </c>
      <c r="L117" s="99"/>
      <c r="M117" s="99"/>
    </row>
    <row r="118" spans="1:26" ht="13.8" thickBot="1" x14ac:dyDescent="0.3">
      <c r="B118" s="97"/>
      <c r="C118" s="97" t="s">
        <v>251</v>
      </c>
      <c r="D118" s="97"/>
      <c r="E118" s="97"/>
      <c r="F118" s="74"/>
      <c r="G118" s="97" t="s">
        <v>212</v>
      </c>
      <c r="H118" s="77"/>
      <c r="I118" s="98" t="s">
        <v>206</v>
      </c>
      <c r="J118" s="190">
        <f t="shared" si="8"/>
        <v>0</v>
      </c>
      <c r="K118" s="97" t="s">
        <v>57</v>
      </c>
      <c r="L118" s="99"/>
      <c r="M118" s="99"/>
    </row>
    <row r="119" spans="1:26" ht="13.8" thickBot="1" x14ac:dyDescent="0.3">
      <c r="B119" s="97"/>
      <c r="C119" s="97" t="s">
        <v>251</v>
      </c>
      <c r="D119" s="97"/>
      <c r="E119" s="97"/>
      <c r="F119" s="74"/>
      <c r="G119" s="97" t="s">
        <v>212</v>
      </c>
      <c r="H119" s="76"/>
      <c r="I119" s="98" t="s">
        <v>206</v>
      </c>
      <c r="J119" s="190">
        <f t="shared" si="8"/>
        <v>0</v>
      </c>
      <c r="K119" s="97" t="s">
        <v>57</v>
      </c>
      <c r="L119" s="99"/>
      <c r="M119" s="99"/>
    </row>
    <row r="120" spans="1:26" s="5" customFormat="1" x14ac:dyDescent="0.25">
      <c r="A120" s="478"/>
      <c r="B120" s="214"/>
      <c r="C120" s="214" t="s">
        <v>54</v>
      </c>
      <c r="D120" s="214"/>
      <c r="E120" s="214"/>
      <c r="F120" s="214"/>
      <c r="G120" s="214"/>
      <c r="H120" s="216"/>
      <c r="I120" s="215"/>
      <c r="J120" s="217">
        <f>SUM(J116:J119)</f>
        <v>3505</v>
      </c>
      <c r="K120" s="214" t="s">
        <v>57</v>
      </c>
      <c r="L120" s="214"/>
      <c r="M120" s="214"/>
      <c r="N120"/>
      <c r="O120"/>
      <c r="P120"/>
      <c r="Q120"/>
      <c r="R120"/>
      <c r="S120"/>
      <c r="T120"/>
      <c r="U120"/>
      <c r="Y120"/>
      <c r="Z120"/>
    </row>
    <row r="121" spans="1:26" x14ac:dyDescent="0.25">
      <c r="B121" s="97"/>
      <c r="C121" s="97"/>
      <c r="D121" s="97"/>
      <c r="E121" s="97"/>
      <c r="F121" s="97"/>
      <c r="G121" s="97"/>
      <c r="H121" s="98"/>
      <c r="I121" s="98"/>
      <c r="J121" s="99"/>
      <c r="K121" s="99"/>
      <c r="L121" s="99"/>
      <c r="M121" s="99"/>
      <c r="N121" s="5"/>
      <c r="O121" s="5"/>
      <c r="P121" s="5"/>
      <c r="Q121" s="5"/>
      <c r="R121" s="5"/>
      <c r="S121" s="5"/>
      <c r="T121" s="5"/>
      <c r="U121" s="5"/>
      <c r="Y121" s="5"/>
      <c r="Z121" s="5"/>
    </row>
    <row r="122" spans="1:26" ht="33" customHeight="1" x14ac:dyDescent="0.25">
      <c r="B122" s="435"/>
      <c r="C122" s="435"/>
      <c r="D122" s="435"/>
      <c r="E122" s="435"/>
      <c r="F122" s="435"/>
      <c r="G122" s="435"/>
      <c r="H122" s="437"/>
      <c r="I122" s="437"/>
      <c r="J122" s="116"/>
      <c r="K122" s="116"/>
      <c r="L122" s="116"/>
      <c r="M122" s="116"/>
    </row>
    <row r="123" spans="1:26" ht="15.6" x14ac:dyDescent="0.3">
      <c r="B123" s="85" t="s">
        <v>729</v>
      </c>
      <c r="C123" s="51"/>
      <c r="D123" s="51"/>
      <c r="E123" s="51"/>
      <c r="F123" s="1075" t="s">
        <v>114</v>
      </c>
      <c r="G123" s="1075"/>
      <c r="H123" s="1076" t="s">
        <v>113</v>
      </c>
      <c r="I123" s="1076"/>
      <c r="J123" s="1075" t="s">
        <v>243</v>
      </c>
      <c r="K123" s="1075"/>
      <c r="L123" s="58"/>
      <c r="M123" s="58"/>
    </row>
    <row r="124" spans="1:26" ht="15.6" x14ac:dyDescent="0.3">
      <c r="B124" s="85"/>
      <c r="C124" s="51"/>
      <c r="D124" s="387" t="s">
        <v>253</v>
      </c>
      <c r="E124" s="51"/>
      <c r="F124" s="59"/>
      <c r="G124" s="59"/>
      <c r="H124" s="60"/>
      <c r="I124" s="60"/>
      <c r="J124" s="59"/>
      <c r="K124" s="59"/>
      <c r="L124" s="58"/>
      <c r="M124" s="58"/>
    </row>
    <row r="125" spans="1:26" ht="13.8" thickBot="1" x14ac:dyDescent="0.3">
      <c r="B125" s="171" t="s">
        <v>254</v>
      </c>
      <c r="C125" s="51"/>
      <c r="D125" s="51"/>
      <c r="E125" s="51"/>
      <c r="F125" s="53"/>
      <c r="G125" s="53"/>
      <c r="H125" s="52"/>
      <c r="I125" s="52"/>
      <c r="J125" s="58"/>
      <c r="K125" s="58"/>
      <c r="L125" s="58"/>
      <c r="M125" s="58"/>
    </row>
    <row r="126" spans="1:26" ht="13.8" thickBot="1" x14ac:dyDescent="0.3">
      <c r="B126" s="51"/>
      <c r="C126" s="51" t="s">
        <v>603</v>
      </c>
      <c r="D126" s="58"/>
      <c r="E126" s="51"/>
      <c r="F126" s="95">
        <v>3.3</v>
      </c>
      <c r="G126" s="53" t="s">
        <v>256</v>
      </c>
      <c r="H126" s="77">
        <v>16.8</v>
      </c>
      <c r="I126" s="52" t="s">
        <v>257</v>
      </c>
      <c r="J126" s="58">
        <f>F126*H126</f>
        <v>55.44</v>
      </c>
      <c r="K126" s="51" t="s">
        <v>57</v>
      </c>
      <c r="L126" s="58"/>
      <c r="M126" s="58"/>
    </row>
    <row r="127" spans="1:26" ht="13.8" thickBot="1" x14ac:dyDescent="0.3">
      <c r="B127" s="51"/>
      <c r="C127" s="51" t="s">
        <v>265</v>
      </c>
      <c r="D127" s="51"/>
      <c r="E127" s="51"/>
      <c r="F127" s="95"/>
      <c r="G127" s="53" t="s">
        <v>256</v>
      </c>
      <c r="H127" s="77"/>
      <c r="I127" s="52" t="s">
        <v>257</v>
      </c>
      <c r="J127" s="58">
        <f t="shared" ref="J127:J133" si="9">F127*H127</f>
        <v>0</v>
      </c>
      <c r="K127" s="51" t="s">
        <v>57</v>
      </c>
      <c r="L127" s="58"/>
      <c r="M127" s="58"/>
    </row>
    <row r="128" spans="1:26" ht="13.8" thickBot="1" x14ac:dyDescent="0.3">
      <c r="B128" s="51"/>
      <c r="C128" s="51" t="s">
        <v>265</v>
      </c>
      <c r="D128" s="51"/>
      <c r="E128" s="51"/>
      <c r="F128" s="95"/>
      <c r="G128" s="53" t="s">
        <v>256</v>
      </c>
      <c r="H128" s="77"/>
      <c r="I128" s="52" t="s">
        <v>257</v>
      </c>
      <c r="J128" s="58">
        <f t="shared" si="9"/>
        <v>0</v>
      </c>
      <c r="K128" s="51" t="s">
        <v>57</v>
      </c>
      <c r="L128" s="58"/>
      <c r="M128" s="58"/>
    </row>
    <row r="129" spans="1:26" x14ac:dyDescent="0.25">
      <c r="B129" s="51"/>
      <c r="C129" s="51"/>
      <c r="D129" s="51"/>
      <c r="E129" s="51"/>
      <c r="F129" s="53"/>
      <c r="G129" s="53"/>
      <c r="H129" s="52"/>
      <c r="I129" s="52"/>
      <c r="J129" s="58"/>
      <c r="K129" s="51"/>
      <c r="L129" s="58"/>
      <c r="M129" s="58"/>
    </row>
    <row r="130" spans="1:26" ht="13.8" thickBot="1" x14ac:dyDescent="0.3">
      <c r="B130" s="171" t="s">
        <v>266</v>
      </c>
      <c r="C130" s="51"/>
      <c r="D130" s="51"/>
      <c r="E130" s="51"/>
      <c r="F130" s="53"/>
      <c r="G130" s="53"/>
      <c r="H130" s="52"/>
      <c r="I130" s="52"/>
      <c r="J130" s="58"/>
      <c r="K130" s="51"/>
      <c r="L130" s="58"/>
      <c r="M130" s="58"/>
    </row>
    <row r="131" spans="1:26" ht="13.8" thickBot="1" x14ac:dyDescent="0.3">
      <c r="B131" s="51"/>
      <c r="C131" s="51" t="s">
        <v>267</v>
      </c>
      <c r="D131" s="51"/>
      <c r="E131" s="51"/>
      <c r="F131" s="95"/>
      <c r="G131" s="53"/>
      <c r="H131" s="95"/>
      <c r="I131" s="52"/>
      <c r="J131" s="58">
        <f t="shared" si="9"/>
        <v>0</v>
      </c>
      <c r="K131" s="51" t="s">
        <v>57</v>
      </c>
      <c r="L131" s="58"/>
      <c r="M131" s="58"/>
    </row>
    <row r="132" spans="1:26" ht="13.8" thickBot="1" x14ac:dyDescent="0.3">
      <c r="B132" s="51"/>
      <c r="C132" s="51" t="s">
        <v>267</v>
      </c>
      <c r="D132" s="51"/>
      <c r="E132" s="51"/>
      <c r="F132" s="95"/>
      <c r="G132" s="53"/>
      <c r="H132" s="95"/>
      <c r="I132" s="52"/>
      <c r="J132" s="58">
        <f t="shared" si="9"/>
        <v>0</v>
      </c>
      <c r="K132" s="51" t="s">
        <v>57</v>
      </c>
      <c r="L132" s="58"/>
      <c r="M132" s="58"/>
    </row>
    <row r="133" spans="1:26" ht="13.8" thickBot="1" x14ac:dyDescent="0.3">
      <c r="B133" s="51"/>
      <c r="C133" s="51" t="s">
        <v>267</v>
      </c>
      <c r="D133" s="51"/>
      <c r="E133" s="51"/>
      <c r="F133" s="95"/>
      <c r="G133" s="53"/>
      <c r="H133" s="95"/>
      <c r="I133" s="52"/>
      <c r="J133" s="58">
        <f t="shared" si="9"/>
        <v>0</v>
      </c>
      <c r="K133" s="51" t="s">
        <v>57</v>
      </c>
      <c r="L133" s="58"/>
      <c r="M133" s="58"/>
    </row>
    <row r="134" spans="1:26" s="5" customFormat="1" x14ac:dyDescent="0.25">
      <c r="A134" s="478"/>
      <c r="B134" s="195"/>
      <c r="C134" s="195" t="s">
        <v>54</v>
      </c>
      <c r="D134" s="195"/>
      <c r="E134" s="195"/>
      <c r="F134" s="196"/>
      <c r="G134" s="196"/>
      <c r="H134" s="196"/>
      <c r="I134" s="197"/>
      <c r="J134" s="195">
        <f>SUM(J126:J133)</f>
        <v>55.44</v>
      </c>
      <c r="K134" s="195" t="s">
        <v>57</v>
      </c>
      <c r="L134" s="195"/>
      <c r="M134" s="195"/>
      <c r="N134"/>
      <c r="O134"/>
      <c r="P134"/>
      <c r="Q134"/>
      <c r="R134"/>
      <c r="S134"/>
      <c r="T134"/>
      <c r="U134"/>
      <c r="Y134"/>
      <c r="Z134"/>
    </row>
    <row r="135" spans="1:26" x14ac:dyDescent="0.25">
      <c r="B135" s="51"/>
      <c r="C135" s="51"/>
      <c r="D135" s="51"/>
      <c r="E135" s="51"/>
      <c r="F135" s="53"/>
      <c r="G135" s="53"/>
      <c r="H135" s="52"/>
      <c r="I135" s="52"/>
      <c r="J135" s="58"/>
      <c r="K135" s="51"/>
      <c r="L135" s="58"/>
      <c r="M135" s="58"/>
      <c r="N135" s="5"/>
      <c r="O135" s="5"/>
      <c r="P135" s="5"/>
      <c r="Q135" s="5"/>
      <c r="R135" s="5"/>
      <c r="S135" s="5"/>
      <c r="T135" s="5"/>
      <c r="U135" s="5"/>
      <c r="Y135" s="5"/>
      <c r="Z135" s="5"/>
    </row>
    <row r="136" spans="1:26" ht="30" customHeight="1" x14ac:dyDescent="0.25">
      <c r="B136" s="435"/>
      <c r="C136" s="435"/>
      <c r="D136" s="435"/>
      <c r="E136" s="435"/>
      <c r="F136" s="439"/>
      <c r="G136" s="439"/>
      <c r="H136" s="437"/>
      <c r="I136" s="437"/>
      <c r="J136" s="116"/>
      <c r="K136" s="435"/>
      <c r="L136" s="116"/>
      <c r="M136" s="116"/>
    </row>
    <row r="137" spans="1:26" ht="15.6" x14ac:dyDescent="0.3">
      <c r="B137" s="176" t="s">
        <v>730</v>
      </c>
      <c r="C137" s="177"/>
      <c r="D137" s="177"/>
      <c r="E137" s="177"/>
      <c r="F137" s="1067" t="s">
        <v>114</v>
      </c>
      <c r="G137" s="1067"/>
      <c r="H137" s="1067" t="s">
        <v>113</v>
      </c>
      <c r="I137" s="1067"/>
      <c r="J137" s="1067" t="s">
        <v>243</v>
      </c>
      <c r="K137" s="1067"/>
      <c r="L137" s="179"/>
      <c r="M137" s="179"/>
    </row>
    <row r="138" spans="1:26" ht="13.8" thickBot="1" x14ac:dyDescent="0.3">
      <c r="B138" s="177"/>
      <c r="C138" s="177"/>
      <c r="D138" s="177"/>
      <c r="E138" s="177"/>
      <c r="F138" s="177"/>
      <c r="G138" s="177"/>
      <c r="H138" s="178"/>
      <c r="I138" s="178"/>
      <c r="J138" s="179"/>
      <c r="K138" s="179"/>
      <c r="L138" s="179"/>
      <c r="M138" s="179"/>
    </row>
    <row r="139" spans="1:26" ht="13.8" thickBot="1" x14ac:dyDescent="0.3">
      <c r="B139" s="177"/>
      <c r="C139" s="177" t="s">
        <v>276</v>
      </c>
      <c r="D139" s="179"/>
      <c r="E139" s="177"/>
      <c r="F139" s="74"/>
      <c r="G139" s="177" t="s">
        <v>7</v>
      </c>
      <c r="H139" s="77"/>
      <c r="I139" s="178" t="s">
        <v>57</v>
      </c>
      <c r="J139" s="180">
        <f t="shared" ref="J139:J141" si="10">F139*H139</f>
        <v>0</v>
      </c>
      <c r="K139" s="177" t="s">
        <v>57</v>
      </c>
      <c r="L139" s="179"/>
      <c r="M139" s="179"/>
    </row>
    <row r="140" spans="1:26" ht="13.8" thickBot="1" x14ac:dyDescent="0.3">
      <c r="B140" s="177"/>
      <c r="C140" s="177" t="s">
        <v>276</v>
      </c>
      <c r="D140" s="177"/>
      <c r="E140" s="177"/>
      <c r="F140" s="74"/>
      <c r="G140" s="177" t="s">
        <v>7</v>
      </c>
      <c r="H140" s="77"/>
      <c r="I140" s="178" t="s">
        <v>57</v>
      </c>
      <c r="J140" s="180">
        <f t="shared" si="10"/>
        <v>0</v>
      </c>
      <c r="K140" s="177" t="s">
        <v>57</v>
      </c>
      <c r="L140" s="179"/>
      <c r="M140" s="179"/>
    </row>
    <row r="141" spans="1:26" ht="13.8" thickBot="1" x14ac:dyDescent="0.3">
      <c r="B141" s="177"/>
      <c r="C141" s="177" t="s">
        <v>276</v>
      </c>
      <c r="D141" s="177"/>
      <c r="E141" s="177"/>
      <c r="F141" s="74"/>
      <c r="G141" s="177" t="s">
        <v>7</v>
      </c>
      <c r="H141" s="77"/>
      <c r="I141" s="178" t="s">
        <v>57</v>
      </c>
      <c r="J141" s="180">
        <f t="shared" si="10"/>
        <v>0</v>
      </c>
      <c r="K141" s="177" t="s">
        <v>57</v>
      </c>
      <c r="L141" s="179"/>
      <c r="M141" s="179"/>
    </row>
    <row r="142" spans="1:26" s="5" customFormat="1" x14ac:dyDescent="0.25">
      <c r="A142" s="478"/>
      <c r="B142" s="204"/>
      <c r="C142" s="204" t="s">
        <v>54</v>
      </c>
      <c r="D142" s="204"/>
      <c r="E142" s="204"/>
      <c r="F142" s="204"/>
      <c r="G142" s="204"/>
      <c r="H142" s="205"/>
      <c r="I142" s="205"/>
      <c r="J142" s="206">
        <f>SUM(J139:J141)</f>
        <v>0</v>
      </c>
      <c r="K142" s="204" t="s">
        <v>57</v>
      </c>
      <c r="L142" s="204"/>
      <c r="M142" s="204"/>
      <c r="N142"/>
      <c r="O142"/>
      <c r="P142"/>
      <c r="Q142"/>
      <c r="R142"/>
      <c r="S142"/>
      <c r="T142"/>
      <c r="U142"/>
      <c r="Y142"/>
      <c r="Z142"/>
    </row>
    <row r="143" spans="1:26" x14ac:dyDescent="0.25">
      <c r="B143" s="177"/>
      <c r="C143" s="177"/>
      <c r="D143" s="177"/>
      <c r="E143" s="177"/>
      <c r="F143" s="177"/>
      <c r="G143" s="177"/>
      <c r="H143" s="178"/>
      <c r="I143" s="178"/>
      <c r="J143" s="180"/>
      <c r="K143" s="177"/>
      <c r="L143" s="179"/>
      <c r="M143" s="179"/>
      <c r="N143" s="5"/>
      <c r="O143" s="5"/>
      <c r="P143" s="5"/>
      <c r="Q143" s="5"/>
      <c r="R143" s="5"/>
      <c r="S143" s="5"/>
      <c r="T143" s="5"/>
      <c r="U143" s="5"/>
      <c r="Y143" s="5"/>
      <c r="Z143" s="5"/>
    </row>
    <row r="144" spans="1:26" ht="33" customHeight="1" x14ac:dyDescent="0.25">
      <c r="B144" s="116"/>
      <c r="C144" s="116"/>
      <c r="D144" s="116"/>
      <c r="E144" s="116"/>
      <c r="F144" s="116"/>
      <c r="G144" s="116"/>
      <c r="H144" s="116"/>
      <c r="I144" s="116"/>
      <c r="J144" s="116"/>
      <c r="K144" s="116"/>
      <c r="L144" s="116"/>
      <c r="M144" s="116"/>
    </row>
    <row r="145" spans="1:26" ht="15.6" x14ac:dyDescent="0.3">
      <c r="B145" s="181" t="s">
        <v>605</v>
      </c>
      <c r="C145" s="182"/>
      <c r="D145" s="182"/>
      <c r="E145" s="183"/>
      <c r="F145" s="182" t="s">
        <v>114</v>
      </c>
      <c r="G145" s="184"/>
      <c r="H145" s="184" t="s">
        <v>113</v>
      </c>
      <c r="I145" s="182"/>
      <c r="J145" s="182" t="s">
        <v>243</v>
      </c>
      <c r="K145" s="185"/>
      <c r="L145" s="185"/>
      <c r="M145" s="185"/>
    </row>
    <row r="146" spans="1:26" ht="16.2" thickBot="1" x14ac:dyDescent="0.35">
      <c r="B146" s="181"/>
      <c r="C146" s="182"/>
      <c r="D146" s="182"/>
      <c r="E146" s="183"/>
      <c r="F146" s="182"/>
      <c r="G146" s="184"/>
      <c r="H146" s="184"/>
      <c r="I146" s="182"/>
      <c r="J146" s="182"/>
      <c r="K146" s="185"/>
      <c r="L146" s="185"/>
      <c r="M146" s="185"/>
    </row>
    <row r="147" spans="1:26" ht="13.8" thickBot="1" x14ac:dyDescent="0.3">
      <c r="B147" s="182"/>
      <c r="C147" s="182" t="s">
        <v>278</v>
      </c>
      <c r="D147" s="185"/>
      <c r="E147" s="186"/>
      <c r="F147" s="74"/>
      <c r="G147" s="187" t="s">
        <v>279</v>
      </c>
      <c r="H147" s="74"/>
      <c r="I147" s="188" t="s">
        <v>280</v>
      </c>
      <c r="J147" s="185">
        <f>H147*F147</f>
        <v>0</v>
      </c>
      <c r="K147" s="188" t="s">
        <v>57</v>
      </c>
      <c r="L147" s="185"/>
      <c r="M147" s="185"/>
    </row>
    <row r="148" spans="1:26" ht="13.8" thickBot="1" x14ac:dyDescent="0.3">
      <c r="B148" s="182"/>
      <c r="C148" s="182" t="s">
        <v>281</v>
      </c>
      <c r="D148" s="188">
        <f>F179/2</f>
        <v>68.75</v>
      </c>
      <c r="E148" s="182" t="s">
        <v>282</v>
      </c>
      <c r="F148" s="74">
        <f>+D148*8</f>
        <v>550</v>
      </c>
      <c r="G148" s="184" t="s">
        <v>256</v>
      </c>
      <c r="H148" s="74">
        <v>0.83</v>
      </c>
      <c r="I148" s="188" t="s">
        <v>257</v>
      </c>
      <c r="J148" s="185">
        <f>H148*F148</f>
        <v>456.5</v>
      </c>
      <c r="K148" s="188" t="s">
        <v>57</v>
      </c>
      <c r="L148" s="185"/>
      <c r="M148" s="185"/>
    </row>
    <row r="149" spans="1:26" ht="13.8" thickBot="1" x14ac:dyDescent="0.3">
      <c r="B149" s="182"/>
      <c r="C149" s="182" t="s">
        <v>686</v>
      </c>
      <c r="D149" s="188">
        <f>D148</f>
        <v>68.75</v>
      </c>
      <c r="E149" s="182" t="s">
        <v>282</v>
      </c>
      <c r="F149" s="74">
        <v>11.88</v>
      </c>
      <c r="G149" s="184" t="s">
        <v>212</v>
      </c>
      <c r="H149" s="74">
        <v>4</v>
      </c>
      <c r="I149" s="188" t="s">
        <v>206</v>
      </c>
      <c r="J149" s="185">
        <f t="shared" ref="J149:J153" si="11">H149*F149</f>
        <v>47.52</v>
      </c>
      <c r="K149" s="188" t="s">
        <v>57</v>
      </c>
      <c r="L149" s="185"/>
      <c r="M149" s="185"/>
    </row>
    <row r="150" spans="1:26" ht="13.8" thickBot="1" x14ac:dyDescent="0.3">
      <c r="B150" s="182"/>
      <c r="C150" s="182" t="s">
        <v>284</v>
      </c>
      <c r="D150" s="185"/>
      <c r="E150" s="188"/>
      <c r="F150" s="74">
        <v>200</v>
      </c>
      <c r="G150" s="184" t="s">
        <v>256</v>
      </c>
      <c r="H150" s="74">
        <v>1.53</v>
      </c>
      <c r="I150" s="188" t="s">
        <v>257</v>
      </c>
      <c r="J150" s="185">
        <f t="shared" si="11"/>
        <v>306</v>
      </c>
      <c r="K150" s="188" t="s">
        <v>57</v>
      </c>
      <c r="L150" s="185"/>
      <c r="M150" s="185"/>
    </row>
    <row r="151" spans="1:26" ht="13.8" thickBot="1" x14ac:dyDescent="0.3">
      <c r="B151" s="182"/>
      <c r="C151" s="182" t="s">
        <v>285</v>
      </c>
      <c r="D151" s="185"/>
      <c r="E151" s="188"/>
      <c r="F151" s="74">
        <v>1.48</v>
      </c>
      <c r="G151" s="184" t="s">
        <v>256</v>
      </c>
      <c r="H151" s="74">
        <v>1.6</v>
      </c>
      <c r="I151" s="188" t="s">
        <v>257</v>
      </c>
      <c r="J151" s="185">
        <f t="shared" si="11"/>
        <v>2.3679999999999999</v>
      </c>
      <c r="K151" s="188" t="s">
        <v>57</v>
      </c>
      <c r="L151" s="185"/>
      <c r="M151" s="185"/>
    </row>
    <row r="152" spans="1:26" ht="13.8" thickBot="1" x14ac:dyDescent="0.3">
      <c r="B152" s="182"/>
      <c r="C152" s="182" t="s">
        <v>423</v>
      </c>
      <c r="D152" s="185"/>
      <c r="E152" s="188"/>
      <c r="F152" s="74"/>
      <c r="G152" s="184"/>
      <c r="H152" s="74"/>
      <c r="I152" s="188"/>
      <c r="J152" s="185">
        <f t="shared" si="11"/>
        <v>0</v>
      </c>
      <c r="K152" s="188" t="s">
        <v>57</v>
      </c>
      <c r="L152" s="185"/>
      <c r="M152" s="185"/>
    </row>
    <row r="153" spans="1:26" ht="13.8" thickBot="1" x14ac:dyDescent="0.3">
      <c r="B153" s="185"/>
      <c r="C153" s="207" t="s">
        <v>423</v>
      </c>
      <c r="D153" s="185"/>
      <c r="E153" s="185"/>
      <c r="F153" s="74"/>
      <c r="G153" s="185"/>
      <c r="H153" s="74"/>
      <c r="I153" s="185"/>
      <c r="J153" s="185">
        <f t="shared" si="11"/>
        <v>0</v>
      </c>
      <c r="K153" s="188" t="s">
        <v>57</v>
      </c>
      <c r="L153" s="185"/>
      <c r="M153" s="185"/>
    </row>
    <row r="154" spans="1:26" s="5" customFormat="1" x14ac:dyDescent="0.25">
      <c r="A154" s="478"/>
      <c r="B154" s="207"/>
      <c r="C154" s="207" t="s">
        <v>54</v>
      </c>
      <c r="D154" s="207"/>
      <c r="E154" s="207"/>
      <c r="F154" s="207"/>
      <c r="G154" s="207"/>
      <c r="H154" s="207"/>
      <c r="I154" s="207"/>
      <c r="J154" s="207">
        <f>SUM(J147:J153)</f>
        <v>812.38800000000003</v>
      </c>
      <c r="K154" s="208" t="s">
        <v>57</v>
      </c>
      <c r="L154" s="207"/>
      <c r="M154" s="207"/>
      <c r="N154"/>
      <c r="O154"/>
      <c r="P154"/>
      <c r="Q154"/>
      <c r="R154"/>
      <c r="S154"/>
      <c r="T154"/>
      <c r="U154"/>
      <c r="Y154"/>
      <c r="Z154"/>
    </row>
    <row r="155" spans="1:26" x14ac:dyDescent="0.25">
      <c r="B155" s="185"/>
      <c r="C155" s="185"/>
      <c r="D155" s="185"/>
      <c r="E155" s="185"/>
      <c r="F155" s="185"/>
      <c r="G155" s="185"/>
      <c r="H155" s="185"/>
      <c r="I155" s="185"/>
      <c r="J155" s="185"/>
      <c r="K155" s="185"/>
      <c r="L155" s="185"/>
      <c r="M155" s="185"/>
      <c r="N155" s="5"/>
      <c r="O155" s="5"/>
      <c r="P155" s="5"/>
      <c r="Q155" s="5"/>
      <c r="R155" s="5"/>
      <c r="S155" s="5"/>
      <c r="T155" s="5"/>
      <c r="U155" s="5"/>
      <c r="Y155" s="5"/>
      <c r="Z155" s="5"/>
    </row>
    <row r="156" spans="1:26" ht="34.950000000000003" customHeight="1" x14ac:dyDescent="0.25">
      <c r="B156" s="116"/>
      <c r="C156" s="116"/>
      <c r="D156" s="116"/>
      <c r="E156" s="116"/>
      <c r="F156" s="116"/>
      <c r="G156" s="116"/>
      <c r="H156" s="116"/>
      <c r="I156" s="116"/>
      <c r="J156" s="116"/>
      <c r="K156" s="116"/>
      <c r="L156" s="116"/>
      <c r="M156" s="116"/>
    </row>
    <row r="157" spans="1:26" ht="22.2" customHeight="1" x14ac:dyDescent="0.3">
      <c r="B157" s="88" t="s">
        <v>731</v>
      </c>
      <c r="C157" s="79"/>
      <c r="D157" s="79"/>
      <c r="E157" s="79"/>
      <c r="F157" s="79"/>
      <c r="G157" s="79"/>
      <c r="H157" s="79"/>
      <c r="I157" s="79"/>
      <c r="J157" s="79"/>
      <c r="K157" s="79"/>
      <c r="L157" s="79"/>
      <c r="M157" s="79"/>
    </row>
    <row r="158" spans="1:26" ht="22.2" customHeight="1" x14ac:dyDescent="0.3">
      <c r="B158" s="88"/>
      <c r="C158" s="79"/>
      <c r="D158" s="79"/>
      <c r="E158" s="79"/>
      <c r="F158" s="79"/>
      <c r="G158" s="79"/>
      <c r="H158" s="79"/>
      <c r="I158" s="79"/>
      <c r="J158" s="79"/>
      <c r="K158" s="79"/>
      <c r="L158" s="79"/>
      <c r="M158" s="79"/>
    </row>
    <row r="159" spans="1:26" ht="49.95" customHeight="1" x14ac:dyDescent="0.25">
      <c r="B159" s="1096" t="s">
        <v>699</v>
      </c>
      <c r="C159" s="1096"/>
      <c r="D159" s="1096"/>
      <c r="E159" s="1096"/>
      <c r="F159" s="1096"/>
      <c r="G159" s="1096"/>
      <c r="H159" s="1096"/>
      <c r="I159" s="1096"/>
      <c r="J159" s="1096"/>
      <c r="K159" s="1096"/>
      <c r="L159" s="1096"/>
      <c r="M159" s="1096"/>
    </row>
    <row r="160" spans="1:26" ht="22.2" customHeight="1" x14ac:dyDescent="0.3">
      <c r="B160" s="88"/>
      <c r="C160" s="79"/>
      <c r="D160" s="79"/>
      <c r="E160" s="83"/>
      <c r="F160" s="83"/>
      <c r="G160" s="83"/>
      <c r="H160" s="84"/>
      <c r="I160" s="84"/>
      <c r="J160" s="83"/>
      <c r="K160" s="83"/>
      <c r="L160" s="84"/>
      <c r="M160" s="84"/>
    </row>
    <row r="161" spans="2:13" ht="22.2" customHeight="1" x14ac:dyDescent="0.3">
      <c r="B161" s="88"/>
      <c r="C161" s="79"/>
      <c r="D161" s="79"/>
      <c r="E161" s="1069" t="s">
        <v>290</v>
      </c>
      <c r="F161" s="1069"/>
      <c r="G161" s="1069"/>
      <c r="H161" s="1070" t="s">
        <v>113</v>
      </c>
      <c r="I161" s="1070"/>
      <c r="J161" s="1069" t="s">
        <v>291</v>
      </c>
      <c r="K161" s="1069"/>
      <c r="L161" s="1070" t="s">
        <v>113</v>
      </c>
      <c r="M161" s="1070"/>
    </row>
    <row r="162" spans="2:13" ht="10.95" customHeight="1" thickBot="1" x14ac:dyDescent="0.3">
      <c r="B162" s="78"/>
      <c r="C162" s="79"/>
      <c r="D162" s="79"/>
      <c r="E162" s="79"/>
      <c r="F162" s="79"/>
      <c r="G162" s="79"/>
      <c r="H162" s="79"/>
      <c r="I162" s="79"/>
      <c r="J162" s="79"/>
      <c r="K162" s="79"/>
      <c r="L162" s="79"/>
      <c r="M162" s="79"/>
    </row>
    <row r="163" spans="2:13" ht="13.8" thickBot="1" x14ac:dyDescent="0.3">
      <c r="B163" s="79"/>
      <c r="C163" s="80" t="s">
        <v>292</v>
      </c>
      <c r="D163" s="79"/>
      <c r="E163" s="79"/>
      <c r="F163" s="91">
        <v>2.5</v>
      </c>
      <c r="G163" s="82" t="s">
        <v>293</v>
      </c>
      <c r="H163" s="93">
        <v>14.5</v>
      </c>
      <c r="I163" s="82" t="s">
        <v>294</v>
      </c>
      <c r="J163" s="92"/>
      <c r="K163" s="82" t="s">
        <v>293</v>
      </c>
      <c r="L163" s="93">
        <v>14.5</v>
      </c>
      <c r="M163" s="82" t="s">
        <v>294</v>
      </c>
    </row>
    <row r="164" spans="2:13" ht="13.8" thickBot="1" x14ac:dyDescent="0.3">
      <c r="B164" s="79"/>
      <c r="C164" s="80" t="s">
        <v>678</v>
      </c>
      <c r="D164" s="79"/>
      <c r="E164" s="79"/>
      <c r="F164" s="91">
        <v>2</v>
      </c>
      <c r="G164" s="82" t="s">
        <v>293</v>
      </c>
      <c r="H164" s="90">
        <f t="shared" ref="H164:H178" si="12">$H$163</f>
        <v>14.5</v>
      </c>
      <c r="I164" s="82" t="s">
        <v>294</v>
      </c>
      <c r="J164" s="92"/>
      <c r="K164" s="82" t="s">
        <v>293</v>
      </c>
      <c r="L164" s="90">
        <f t="shared" ref="L164:L178" si="13">$L$163</f>
        <v>14.5</v>
      </c>
      <c r="M164" s="82" t="s">
        <v>294</v>
      </c>
    </row>
    <row r="165" spans="2:13" ht="13.8" thickBot="1" x14ac:dyDescent="0.3">
      <c r="B165" s="79"/>
      <c r="C165" s="80" t="s">
        <v>297</v>
      </c>
      <c r="D165" s="79"/>
      <c r="E165" s="79"/>
      <c r="F165" s="91">
        <v>1</v>
      </c>
      <c r="G165" s="82" t="s">
        <v>293</v>
      </c>
      <c r="H165" s="90">
        <f t="shared" si="12"/>
        <v>14.5</v>
      </c>
      <c r="I165" s="82" t="s">
        <v>294</v>
      </c>
      <c r="J165" s="92"/>
      <c r="K165" s="82" t="s">
        <v>293</v>
      </c>
      <c r="L165" s="90">
        <f t="shared" si="13"/>
        <v>14.5</v>
      </c>
      <c r="M165" s="82" t="s">
        <v>294</v>
      </c>
    </row>
    <row r="166" spans="2:13" ht="13.8" thickBot="1" x14ac:dyDescent="0.3">
      <c r="B166" s="79"/>
      <c r="C166" s="80" t="s">
        <v>555</v>
      </c>
      <c r="D166" s="79"/>
      <c r="E166" s="79"/>
      <c r="F166" s="92">
        <v>12</v>
      </c>
      <c r="G166" s="82" t="s">
        <v>293</v>
      </c>
      <c r="H166" s="90">
        <f t="shared" si="12"/>
        <v>14.5</v>
      </c>
      <c r="I166" s="82" t="s">
        <v>294</v>
      </c>
      <c r="J166" s="92"/>
      <c r="K166" s="82" t="s">
        <v>293</v>
      </c>
      <c r="L166" s="90">
        <f t="shared" si="13"/>
        <v>14.5</v>
      </c>
      <c r="M166" s="82" t="s">
        <v>294</v>
      </c>
    </row>
    <row r="167" spans="2:13" ht="13.8" thickBot="1" x14ac:dyDescent="0.3">
      <c r="B167" s="79"/>
      <c r="C167" s="80" t="s">
        <v>732</v>
      </c>
      <c r="D167" s="79"/>
      <c r="E167" s="79"/>
      <c r="F167" s="92">
        <v>10</v>
      </c>
      <c r="G167" s="82" t="s">
        <v>293</v>
      </c>
      <c r="H167" s="90">
        <f t="shared" si="12"/>
        <v>14.5</v>
      </c>
      <c r="I167" s="82" t="s">
        <v>294</v>
      </c>
      <c r="J167" s="92"/>
      <c r="K167" s="82" t="s">
        <v>293</v>
      </c>
      <c r="L167" s="90">
        <f t="shared" si="13"/>
        <v>14.5</v>
      </c>
      <c r="M167" s="82" t="s">
        <v>294</v>
      </c>
    </row>
    <row r="168" spans="2:13" ht="13.8" thickBot="1" x14ac:dyDescent="0.3">
      <c r="B168" s="79"/>
      <c r="C168" s="80" t="s">
        <v>680</v>
      </c>
      <c r="D168" s="79"/>
      <c r="E168" s="79"/>
      <c r="F168" s="91">
        <v>15</v>
      </c>
      <c r="G168" s="82" t="s">
        <v>293</v>
      </c>
      <c r="H168" s="90">
        <f t="shared" si="12"/>
        <v>14.5</v>
      </c>
      <c r="I168" s="82" t="s">
        <v>294</v>
      </c>
      <c r="J168" s="92">
        <v>15</v>
      </c>
      <c r="K168" s="82" t="s">
        <v>293</v>
      </c>
      <c r="L168" s="90">
        <f t="shared" si="13"/>
        <v>14.5</v>
      </c>
      <c r="M168" s="82" t="s">
        <v>294</v>
      </c>
    </row>
    <row r="169" spans="2:13" ht="13.8" thickBot="1" x14ac:dyDescent="0.3">
      <c r="B169" s="79"/>
      <c r="C169" s="80" t="s">
        <v>298</v>
      </c>
      <c r="D169" s="79"/>
      <c r="E169" s="79"/>
      <c r="F169" s="91">
        <v>25</v>
      </c>
      <c r="G169" s="82" t="s">
        <v>293</v>
      </c>
      <c r="H169" s="90">
        <f t="shared" si="12"/>
        <v>14.5</v>
      </c>
      <c r="I169" s="82" t="s">
        <v>294</v>
      </c>
      <c r="J169" s="92">
        <v>25</v>
      </c>
      <c r="K169" s="82" t="s">
        <v>293</v>
      </c>
      <c r="L169" s="90">
        <f t="shared" si="13"/>
        <v>14.5</v>
      </c>
      <c r="M169" s="82" t="s">
        <v>294</v>
      </c>
    </row>
    <row r="170" spans="2:13" ht="13.8" thickBot="1" x14ac:dyDescent="0.3">
      <c r="B170" s="79"/>
      <c r="C170" s="80" t="s">
        <v>681</v>
      </c>
      <c r="D170" s="79"/>
      <c r="E170" s="79"/>
      <c r="F170" s="91">
        <v>6</v>
      </c>
      <c r="G170" s="82" t="s">
        <v>293</v>
      </c>
      <c r="H170" s="90">
        <f t="shared" si="12"/>
        <v>14.5</v>
      </c>
      <c r="I170" s="82" t="s">
        <v>294</v>
      </c>
      <c r="J170" s="92"/>
      <c r="K170" s="82" t="s">
        <v>293</v>
      </c>
      <c r="L170" s="90">
        <f t="shared" si="13"/>
        <v>14.5</v>
      </c>
      <c r="M170" s="82" t="s">
        <v>294</v>
      </c>
    </row>
    <row r="171" spans="2:13" ht="13.8" thickBot="1" x14ac:dyDescent="0.3">
      <c r="B171" s="79"/>
      <c r="C171" s="80" t="s">
        <v>555</v>
      </c>
      <c r="D171" s="79"/>
      <c r="E171" s="79"/>
      <c r="F171" s="91">
        <v>8</v>
      </c>
      <c r="G171" s="82" t="s">
        <v>293</v>
      </c>
      <c r="H171" s="90">
        <f t="shared" si="12"/>
        <v>14.5</v>
      </c>
      <c r="I171" s="82" t="s">
        <v>294</v>
      </c>
      <c r="J171" s="92"/>
      <c r="K171" s="82" t="s">
        <v>293</v>
      </c>
      <c r="L171" s="90">
        <f t="shared" si="13"/>
        <v>14.5</v>
      </c>
      <c r="M171" s="82" t="s">
        <v>294</v>
      </c>
    </row>
    <row r="172" spans="2:13" ht="13.8" thickBot="1" x14ac:dyDescent="0.3">
      <c r="B172" s="79"/>
      <c r="C172" s="80" t="s">
        <v>569</v>
      </c>
      <c r="D172" s="79"/>
      <c r="E172" s="79"/>
      <c r="F172" s="91">
        <v>20</v>
      </c>
      <c r="G172" s="82" t="s">
        <v>293</v>
      </c>
      <c r="H172" s="90">
        <f t="shared" si="12"/>
        <v>14.5</v>
      </c>
      <c r="I172" s="82" t="s">
        <v>294</v>
      </c>
      <c r="J172" s="92">
        <v>40</v>
      </c>
      <c r="K172" s="82" t="s">
        <v>293</v>
      </c>
      <c r="L172" s="90">
        <f t="shared" si="13"/>
        <v>14.5</v>
      </c>
      <c r="M172" s="82" t="s">
        <v>294</v>
      </c>
    </row>
    <row r="173" spans="2:13" ht="13.8" thickBot="1" x14ac:dyDescent="0.3">
      <c r="B173" s="79"/>
      <c r="C173" s="80" t="s">
        <v>303</v>
      </c>
      <c r="D173" s="79"/>
      <c r="E173" s="79"/>
      <c r="F173" s="91">
        <v>4</v>
      </c>
      <c r="G173" s="82" t="s">
        <v>293</v>
      </c>
      <c r="H173" s="90">
        <f t="shared" si="12"/>
        <v>14.5</v>
      </c>
      <c r="I173" s="82" t="s">
        <v>294</v>
      </c>
      <c r="J173" s="92"/>
      <c r="K173" s="82" t="s">
        <v>293</v>
      </c>
      <c r="L173" s="90">
        <f t="shared" si="13"/>
        <v>14.5</v>
      </c>
      <c r="M173" s="82" t="s">
        <v>294</v>
      </c>
    </row>
    <row r="174" spans="2:13" ht="13.8" thickBot="1" x14ac:dyDescent="0.3">
      <c r="B174" s="79"/>
      <c r="C174" s="80" t="s">
        <v>662</v>
      </c>
      <c r="D174" s="79"/>
      <c r="E174" s="79"/>
      <c r="F174" s="91">
        <v>20</v>
      </c>
      <c r="G174" s="82" t="s">
        <v>293</v>
      </c>
      <c r="H174" s="90">
        <f t="shared" si="12"/>
        <v>14.5</v>
      </c>
      <c r="I174" s="82" t="s">
        <v>294</v>
      </c>
      <c r="J174" s="92"/>
      <c r="K174" s="82" t="s">
        <v>293</v>
      </c>
      <c r="L174" s="90">
        <f t="shared" si="13"/>
        <v>14.5</v>
      </c>
      <c r="M174" s="82" t="s">
        <v>294</v>
      </c>
    </row>
    <row r="175" spans="2:13" ht="13.8" thickBot="1" x14ac:dyDescent="0.3">
      <c r="B175" s="79"/>
      <c r="C175" s="80" t="s">
        <v>503</v>
      </c>
      <c r="D175" s="79"/>
      <c r="E175" s="79"/>
      <c r="F175" s="92">
        <v>12</v>
      </c>
      <c r="G175" s="82" t="s">
        <v>293</v>
      </c>
      <c r="H175" s="90">
        <f t="shared" si="12"/>
        <v>14.5</v>
      </c>
      <c r="I175" s="82" t="s">
        <v>294</v>
      </c>
      <c r="J175" s="92"/>
      <c r="K175" s="82" t="s">
        <v>293</v>
      </c>
      <c r="L175" s="90">
        <f t="shared" si="13"/>
        <v>14.5</v>
      </c>
      <c r="M175" s="82" t="s">
        <v>294</v>
      </c>
    </row>
    <row r="176" spans="2:13" ht="13.8" thickBot="1" x14ac:dyDescent="0.3">
      <c r="B176" s="79"/>
      <c r="C176" s="80" t="s">
        <v>431</v>
      </c>
      <c r="D176" s="79"/>
      <c r="E176" s="79"/>
      <c r="F176" s="92"/>
      <c r="G176" s="82" t="s">
        <v>293</v>
      </c>
      <c r="H176" s="90">
        <f t="shared" si="12"/>
        <v>14.5</v>
      </c>
      <c r="I176" s="82" t="s">
        <v>294</v>
      </c>
      <c r="J176" s="75"/>
      <c r="K176" s="82" t="s">
        <v>293</v>
      </c>
      <c r="L176" s="90">
        <f t="shared" si="13"/>
        <v>14.5</v>
      </c>
      <c r="M176" s="82" t="s">
        <v>294</v>
      </c>
    </row>
    <row r="177" spans="1:26" ht="13.8" thickBot="1" x14ac:dyDescent="0.3">
      <c r="B177" s="79"/>
      <c r="C177" s="80" t="s">
        <v>431</v>
      </c>
      <c r="D177" s="79"/>
      <c r="E177" s="79"/>
      <c r="F177" s="92"/>
      <c r="G177" s="82" t="s">
        <v>293</v>
      </c>
      <c r="H177" s="90">
        <f t="shared" si="12"/>
        <v>14.5</v>
      </c>
      <c r="I177" s="82" t="s">
        <v>294</v>
      </c>
      <c r="J177" s="75"/>
      <c r="K177" s="82" t="s">
        <v>293</v>
      </c>
      <c r="L177" s="90">
        <f t="shared" si="13"/>
        <v>14.5</v>
      </c>
      <c r="M177" s="82" t="s">
        <v>294</v>
      </c>
    </row>
    <row r="178" spans="1:26" ht="13.8" thickBot="1" x14ac:dyDescent="0.3">
      <c r="B178" s="79"/>
      <c r="C178" s="80" t="s">
        <v>431</v>
      </c>
      <c r="D178" s="81"/>
      <c r="E178" s="81"/>
      <c r="F178" s="75"/>
      <c r="G178" s="82" t="s">
        <v>293</v>
      </c>
      <c r="H178" s="90">
        <f t="shared" si="12"/>
        <v>14.5</v>
      </c>
      <c r="I178" s="82" t="s">
        <v>294</v>
      </c>
      <c r="J178" s="75"/>
      <c r="K178" s="82" t="s">
        <v>293</v>
      </c>
      <c r="L178" s="90">
        <f t="shared" si="13"/>
        <v>14.5</v>
      </c>
      <c r="M178" s="82" t="s">
        <v>294</v>
      </c>
    </row>
    <row r="179" spans="1:26" s="5" customFormat="1" x14ac:dyDescent="0.25">
      <c r="A179" s="478"/>
      <c r="B179" s="209"/>
      <c r="C179" s="210" t="s">
        <v>54</v>
      </c>
      <c r="D179" s="211"/>
      <c r="E179" s="211"/>
      <c r="F179" s="212">
        <f>SUM(F163:F178)</f>
        <v>137.5</v>
      </c>
      <c r="G179" s="209" t="s">
        <v>293</v>
      </c>
      <c r="H179" s="213">
        <f>F179*H163</f>
        <v>1993.75</v>
      </c>
      <c r="I179" s="209" t="s">
        <v>57</v>
      </c>
      <c r="J179" s="212">
        <f>SUM(J163:J178)</f>
        <v>80</v>
      </c>
      <c r="K179" s="209" t="s">
        <v>293</v>
      </c>
      <c r="L179" s="213">
        <f>J179*L163</f>
        <v>1160</v>
      </c>
      <c r="M179" s="209" t="s">
        <v>57</v>
      </c>
      <c r="N179"/>
      <c r="O179"/>
      <c r="P179"/>
      <c r="Q179"/>
      <c r="R179"/>
      <c r="S179"/>
      <c r="T179"/>
      <c r="U179"/>
      <c r="Y179"/>
      <c r="Z179"/>
    </row>
    <row r="180" spans="1:26" ht="57" customHeight="1" thickBot="1" x14ac:dyDescent="0.3">
      <c r="B180" s="116"/>
      <c r="C180" s="116"/>
      <c r="D180" s="116"/>
      <c r="E180" s="116"/>
      <c r="F180" s="116"/>
      <c r="G180" s="116"/>
      <c r="H180" s="116"/>
      <c r="I180" s="116"/>
      <c r="J180" s="116"/>
      <c r="K180" s="116"/>
      <c r="L180" s="116"/>
      <c r="M180" s="116"/>
      <c r="N180" s="5"/>
      <c r="O180" s="5"/>
      <c r="P180" s="5"/>
      <c r="Q180" s="5"/>
      <c r="R180" s="5"/>
      <c r="S180" s="5"/>
      <c r="T180" s="5"/>
      <c r="U180" s="5"/>
      <c r="Y180" s="5"/>
      <c r="Z180" s="5"/>
    </row>
    <row r="181" spans="1:26" ht="30" customHeight="1" thickBot="1" x14ac:dyDescent="0.45">
      <c r="B181" s="1129" t="s">
        <v>723</v>
      </c>
      <c r="C181" s="1130"/>
      <c r="D181" s="1130"/>
      <c r="E181" s="1131"/>
      <c r="F181" s="116"/>
      <c r="G181" s="116"/>
      <c r="H181" s="116"/>
      <c r="I181" s="116"/>
      <c r="J181" s="1140" t="s">
        <v>733</v>
      </c>
      <c r="K181" s="1140"/>
      <c r="L181" s="1140"/>
      <c r="M181" s="116"/>
    </row>
    <row r="182" spans="1:26" ht="30" customHeight="1" x14ac:dyDescent="0.4">
      <c r="B182" s="438"/>
      <c r="C182" s="438"/>
      <c r="D182" s="438"/>
      <c r="E182" s="438"/>
      <c r="F182" s="116"/>
      <c r="G182" s="116"/>
      <c r="H182" s="116"/>
      <c r="I182" s="116"/>
      <c r="J182" s="461"/>
      <c r="K182" s="461"/>
      <c r="L182" s="461"/>
      <c r="M182" s="116"/>
    </row>
    <row r="183" spans="1:26" ht="15.6" x14ac:dyDescent="0.3">
      <c r="B183" s="89" t="s">
        <v>734</v>
      </c>
      <c r="C183" s="44"/>
      <c r="D183" s="44"/>
      <c r="E183" s="44"/>
      <c r="F183" s="1077" t="s">
        <v>114</v>
      </c>
      <c r="G183" s="1077"/>
      <c r="H183" s="1077" t="s">
        <v>113</v>
      </c>
      <c r="I183" s="1077"/>
      <c r="J183" s="1077" t="s">
        <v>243</v>
      </c>
      <c r="K183" s="1077"/>
      <c r="L183" s="111" t="s">
        <v>244</v>
      </c>
      <c r="M183" s="46"/>
    </row>
    <row r="184" spans="1:26" ht="13.8" thickBot="1" x14ac:dyDescent="0.3">
      <c r="B184" s="48"/>
      <c r="C184" s="44"/>
      <c r="D184" s="44"/>
      <c r="E184" s="44"/>
      <c r="F184" s="44"/>
      <c r="G184" s="44"/>
      <c r="H184" s="44"/>
      <c r="I184" s="44"/>
      <c r="J184" s="46"/>
      <c r="K184" s="46"/>
      <c r="L184" s="46"/>
      <c r="M184" s="46"/>
    </row>
    <row r="185" spans="1:26" ht="13.8" thickBot="1" x14ac:dyDescent="0.3">
      <c r="B185" s="44"/>
      <c r="C185" s="45" t="s">
        <v>735</v>
      </c>
      <c r="D185" s="46"/>
      <c r="E185" s="44"/>
      <c r="F185" s="94">
        <v>150</v>
      </c>
      <c r="G185" s="44" t="s">
        <v>647</v>
      </c>
      <c r="H185" s="73">
        <v>2.5</v>
      </c>
      <c r="I185" s="49" t="s">
        <v>74</v>
      </c>
      <c r="J185" s="191">
        <f>F185*H185</f>
        <v>375</v>
      </c>
      <c r="K185" s="44" t="s">
        <v>57</v>
      </c>
      <c r="L185" s="44" t="s">
        <v>736</v>
      </c>
      <c r="M185" s="46"/>
    </row>
    <row r="186" spans="1:26" ht="13.8" thickBot="1" x14ac:dyDescent="0.3">
      <c r="B186" s="44"/>
      <c r="C186" s="44" t="s">
        <v>596</v>
      </c>
      <c r="D186" s="45"/>
      <c r="E186" s="44"/>
      <c r="F186" s="94"/>
      <c r="G186" s="44" t="s">
        <v>647</v>
      </c>
      <c r="H186" s="73"/>
      <c r="I186" s="49" t="s">
        <v>74</v>
      </c>
      <c r="J186" s="191">
        <f t="shared" ref="J186:J187" si="14">F186*H186</f>
        <v>0</v>
      </c>
      <c r="K186" s="44" t="s">
        <v>57</v>
      </c>
      <c r="L186" s="46"/>
      <c r="M186" s="46"/>
    </row>
    <row r="187" spans="1:26" ht="13.8" thickBot="1" x14ac:dyDescent="0.3">
      <c r="B187" s="44"/>
      <c r="C187" s="44" t="s">
        <v>596</v>
      </c>
      <c r="D187" s="45"/>
      <c r="E187" s="44"/>
      <c r="F187" s="94"/>
      <c r="G187" s="44" t="s">
        <v>647</v>
      </c>
      <c r="H187" s="73"/>
      <c r="I187" s="49" t="s">
        <v>74</v>
      </c>
      <c r="J187" s="191">
        <f t="shared" si="14"/>
        <v>0</v>
      </c>
      <c r="K187" s="44" t="s">
        <v>57</v>
      </c>
      <c r="L187" s="46"/>
      <c r="M187" s="46"/>
    </row>
    <row r="188" spans="1:26" ht="13.8" thickBot="1" x14ac:dyDescent="0.3">
      <c r="B188" s="44"/>
      <c r="C188" s="44"/>
      <c r="D188" s="50"/>
      <c r="E188" s="44"/>
      <c r="F188" s="44"/>
      <c r="G188" s="44"/>
      <c r="H188" s="49"/>
      <c r="I188" s="49"/>
      <c r="J188" s="191"/>
      <c r="K188" s="44"/>
      <c r="L188" s="46"/>
      <c r="M188" s="46"/>
    </row>
    <row r="189" spans="1:26" ht="13.8" thickBot="1" x14ac:dyDescent="0.3">
      <c r="B189" s="44"/>
      <c r="C189" s="44" t="s">
        <v>737</v>
      </c>
      <c r="D189" s="50"/>
      <c r="E189" s="44"/>
      <c r="F189" s="94">
        <v>10</v>
      </c>
      <c r="G189" s="44" t="s">
        <v>8</v>
      </c>
      <c r="H189" s="77">
        <v>4</v>
      </c>
      <c r="I189" s="49" t="s">
        <v>206</v>
      </c>
      <c r="J189" s="191">
        <f t="shared" ref="J189" si="15">F189*H189</f>
        <v>40</v>
      </c>
      <c r="K189" s="44" t="s">
        <v>57</v>
      </c>
      <c r="L189" s="46"/>
      <c r="M189" s="46"/>
    </row>
    <row r="190" spans="1:26" ht="13.8" thickBot="1" x14ac:dyDescent="0.3">
      <c r="B190" s="44"/>
      <c r="C190" s="44" t="s">
        <v>598</v>
      </c>
      <c r="D190" s="50"/>
      <c r="E190" s="44"/>
      <c r="F190" s="94"/>
      <c r="G190" s="44" t="s">
        <v>8</v>
      </c>
      <c r="H190" s="77"/>
      <c r="I190" s="49" t="s">
        <v>206</v>
      </c>
      <c r="J190" s="191"/>
      <c r="K190" s="44" t="s">
        <v>57</v>
      </c>
      <c r="L190" s="46"/>
      <c r="M190" s="46"/>
    </row>
    <row r="191" spans="1:26" s="5" customFormat="1" x14ac:dyDescent="0.25">
      <c r="A191" s="478"/>
      <c r="B191" s="50"/>
      <c r="C191" s="50" t="s">
        <v>54</v>
      </c>
      <c r="D191" s="50"/>
      <c r="E191" s="50"/>
      <c r="F191" s="218"/>
      <c r="G191" s="50"/>
      <c r="H191" s="219"/>
      <c r="I191" s="219"/>
      <c r="J191" s="220">
        <f>SUM(J185:J190)</f>
        <v>415</v>
      </c>
      <c r="K191" s="50" t="s">
        <v>57</v>
      </c>
      <c r="L191" s="50"/>
      <c r="M191" s="50"/>
      <c r="N191"/>
      <c r="O191"/>
      <c r="P191"/>
      <c r="Q191"/>
      <c r="R191"/>
      <c r="S191"/>
      <c r="T191"/>
      <c r="U191"/>
      <c r="Y191"/>
      <c r="Z191"/>
    </row>
    <row r="192" spans="1:26" x14ac:dyDescent="0.25">
      <c r="B192" s="44"/>
      <c r="C192" s="44"/>
      <c r="D192" s="50"/>
      <c r="E192" s="44"/>
      <c r="F192" s="47"/>
      <c r="G192" s="44"/>
      <c r="H192" s="49"/>
      <c r="I192" s="49"/>
      <c r="J192" s="46"/>
      <c r="K192" s="44"/>
      <c r="L192" s="46"/>
      <c r="M192" s="46"/>
      <c r="N192" s="5"/>
      <c r="O192" s="5"/>
      <c r="P192" s="5"/>
      <c r="Q192" s="5"/>
      <c r="R192" s="5"/>
      <c r="S192" s="5"/>
      <c r="T192" s="5"/>
      <c r="U192" s="5"/>
      <c r="Y192" s="5"/>
      <c r="Z192" s="5"/>
    </row>
    <row r="193" spans="1:26" ht="37.200000000000003" customHeight="1" x14ac:dyDescent="0.25">
      <c r="B193" s="435"/>
      <c r="C193" s="435"/>
      <c r="D193" s="436"/>
      <c r="E193" s="435"/>
      <c r="F193" s="435"/>
      <c r="G193" s="435"/>
      <c r="H193" s="437"/>
      <c r="I193" s="437"/>
      <c r="J193" s="116"/>
      <c r="K193" s="116"/>
      <c r="L193" s="116"/>
      <c r="M193" s="116"/>
    </row>
    <row r="194" spans="1:26" ht="15.6" x14ac:dyDescent="0.3">
      <c r="B194" s="96" t="s">
        <v>738</v>
      </c>
      <c r="C194" s="97"/>
      <c r="D194" s="97"/>
      <c r="E194" s="97"/>
      <c r="F194" s="1074" t="s">
        <v>114</v>
      </c>
      <c r="G194" s="1074"/>
      <c r="H194" s="1074" t="s">
        <v>113</v>
      </c>
      <c r="I194" s="1074"/>
      <c r="J194" s="1074" t="s">
        <v>243</v>
      </c>
      <c r="K194" s="1074"/>
      <c r="L194" s="99"/>
      <c r="M194" s="99"/>
    </row>
    <row r="195" spans="1:26" ht="13.8" thickBot="1" x14ac:dyDescent="0.3">
      <c r="B195" s="97"/>
      <c r="C195" s="97"/>
      <c r="D195" s="97"/>
      <c r="E195" s="97"/>
      <c r="F195" s="97"/>
      <c r="G195" s="97"/>
      <c r="H195" s="98"/>
      <c r="I195" s="98"/>
      <c r="J195" s="99"/>
      <c r="K195" s="99"/>
      <c r="L195" s="99"/>
      <c r="M195" s="99"/>
    </row>
    <row r="196" spans="1:26" ht="13.8" thickBot="1" x14ac:dyDescent="0.3">
      <c r="B196" s="97"/>
      <c r="C196" s="97" t="s">
        <v>739</v>
      </c>
      <c r="D196" s="99"/>
      <c r="E196" s="97"/>
      <c r="F196" s="94">
        <v>350</v>
      </c>
      <c r="G196" s="97" t="s">
        <v>212</v>
      </c>
      <c r="H196" s="77">
        <v>0.95</v>
      </c>
      <c r="I196" s="98" t="s">
        <v>206</v>
      </c>
      <c r="J196" s="190">
        <f>F196*H196</f>
        <v>332.5</v>
      </c>
      <c r="K196" s="97" t="s">
        <v>57</v>
      </c>
      <c r="L196" s="99"/>
      <c r="M196" s="99"/>
    </row>
    <row r="197" spans="1:26" ht="13.8" thickBot="1" x14ac:dyDescent="0.3">
      <c r="B197" s="97"/>
      <c r="C197" s="97" t="s">
        <v>740</v>
      </c>
      <c r="D197" s="99"/>
      <c r="E197" s="97"/>
      <c r="F197" s="94">
        <v>110</v>
      </c>
      <c r="G197" s="97" t="s">
        <v>212</v>
      </c>
      <c r="H197" s="77">
        <v>0.4</v>
      </c>
      <c r="I197" s="98" t="s">
        <v>206</v>
      </c>
      <c r="J197" s="190">
        <f t="shared" ref="J197:J199" si="16">F197*H197</f>
        <v>44</v>
      </c>
      <c r="K197" s="97" t="s">
        <v>57</v>
      </c>
      <c r="L197" s="99"/>
      <c r="M197" s="99"/>
    </row>
    <row r="198" spans="1:26" ht="13.8" thickBot="1" x14ac:dyDescent="0.3">
      <c r="B198" s="97"/>
      <c r="C198" s="97" t="s">
        <v>741</v>
      </c>
      <c r="D198" s="97"/>
      <c r="E198" s="97"/>
      <c r="F198" s="74"/>
      <c r="G198" s="97" t="s">
        <v>212</v>
      </c>
      <c r="H198" s="77"/>
      <c r="I198" s="98" t="s">
        <v>206</v>
      </c>
      <c r="J198" s="190">
        <f t="shared" si="16"/>
        <v>0</v>
      </c>
      <c r="K198" s="97" t="s">
        <v>57</v>
      </c>
      <c r="L198" s="99"/>
      <c r="M198" s="99"/>
    </row>
    <row r="199" spans="1:26" ht="13.8" thickBot="1" x14ac:dyDescent="0.3">
      <c r="B199" s="97"/>
      <c r="C199" s="97" t="s">
        <v>741</v>
      </c>
      <c r="D199" s="97"/>
      <c r="E199" s="97"/>
      <c r="F199" s="74"/>
      <c r="G199" s="97" t="s">
        <v>212</v>
      </c>
      <c r="H199" s="76"/>
      <c r="I199" s="98" t="s">
        <v>206</v>
      </c>
      <c r="J199" s="190">
        <f t="shared" si="16"/>
        <v>0</v>
      </c>
      <c r="K199" s="97" t="s">
        <v>57</v>
      </c>
      <c r="L199" s="99"/>
      <c r="M199" s="99"/>
    </row>
    <row r="200" spans="1:26" s="5" customFormat="1" x14ac:dyDescent="0.25">
      <c r="A200" s="478"/>
      <c r="B200" s="214"/>
      <c r="C200" s="214" t="s">
        <v>635</v>
      </c>
      <c r="D200" s="214"/>
      <c r="E200" s="214"/>
      <c r="F200" s="214"/>
      <c r="G200" s="214"/>
      <c r="H200" s="216"/>
      <c r="I200" s="215"/>
      <c r="J200" s="217">
        <f>SUM(J196:J199)</f>
        <v>376.5</v>
      </c>
      <c r="K200" s="214" t="s">
        <v>57</v>
      </c>
      <c r="L200" s="214"/>
      <c r="M200" s="214"/>
      <c r="N200"/>
      <c r="O200"/>
      <c r="P200"/>
      <c r="Q200"/>
      <c r="R200"/>
      <c r="S200"/>
      <c r="T200"/>
      <c r="U200"/>
      <c r="Y200"/>
      <c r="Z200"/>
    </row>
    <row r="201" spans="1:26" x14ac:dyDescent="0.25">
      <c r="B201" s="97"/>
      <c r="C201" s="97"/>
      <c r="D201" s="97"/>
      <c r="E201" s="97"/>
      <c r="F201" s="97"/>
      <c r="G201" s="97"/>
      <c r="H201" s="98"/>
      <c r="I201" s="98"/>
      <c r="J201" s="99"/>
      <c r="K201" s="99"/>
      <c r="L201" s="99"/>
      <c r="M201" s="99"/>
      <c r="N201" s="5"/>
      <c r="O201" s="5"/>
      <c r="P201" s="5"/>
      <c r="Q201" s="5"/>
      <c r="R201" s="5"/>
      <c r="S201" s="5"/>
      <c r="T201" s="5"/>
      <c r="U201" s="5"/>
      <c r="Y201" s="5"/>
      <c r="Z201" s="5"/>
    </row>
    <row r="202" spans="1:26" ht="37.950000000000003" customHeight="1" x14ac:dyDescent="0.25">
      <c r="B202" s="116"/>
      <c r="C202" s="116"/>
      <c r="D202" s="116"/>
      <c r="E202" s="116"/>
      <c r="F202" s="116"/>
      <c r="G202" s="116"/>
      <c r="H202" s="116"/>
      <c r="I202" s="116"/>
      <c r="J202" s="116"/>
      <c r="K202" s="116"/>
      <c r="L202" s="116"/>
      <c r="M202" s="116"/>
    </row>
    <row r="203" spans="1:26" ht="15.6" x14ac:dyDescent="0.3">
      <c r="B203" s="85" t="s">
        <v>742</v>
      </c>
      <c r="C203" s="51"/>
      <c r="D203" s="51"/>
      <c r="E203" s="51"/>
      <c r="F203" s="1075" t="s">
        <v>114</v>
      </c>
      <c r="G203" s="1075"/>
      <c r="H203" s="1076" t="s">
        <v>113</v>
      </c>
      <c r="I203" s="1076"/>
      <c r="J203" s="1075" t="s">
        <v>243</v>
      </c>
      <c r="K203" s="1075"/>
      <c r="L203" s="58"/>
      <c r="M203" s="58"/>
    </row>
    <row r="204" spans="1:26" ht="15.6" x14ac:dyDescent="0.3">
      <c r="B204" s="85"/>
      <c r="C204" s="51"/>
      <c r="D204" s="387" t="s">
        <v>253</v>
      </c>
      <c r="E204" s="51"/>
      <c r="F204" s="59"/>
      <c r="G204" s="59"/>
      <c r="H204" s="60"/>
      <c r="I204" s="60"/>
      <c r="J204" s="59"/>
      <c r="K204" s="59"/>
      <c r="L204" s="58"/>
      <c r="M204" s="58"/>
    </row>
    <row r="205" spans="1:26" ht="13.8" thickBot="1" x14ac:dyDescent="0.3">
      <c r="B205" s="171" t="s">
        <v>254</v>
      </c>
      <c r="C205" s="51"/>
      <c r="D205" s="51"/>
      <c r="E205" s="51"/>
      <c r="F205" s="53"/>
      <c r="G205" s="53"/>
      <c r="H205" s="52"/>
      <c r="I205" s="52"/>
      <c r="J205" s="58"/>
      <c r="K205" s="58"/>
      <c r="L205" s="58"/>
      <c r="M205" s="58"/>
    </row>
    <row r="206" spans="1:26" ht="13.8" thickBot="1" x14ac:dyDescent="0.3">
      <c r="B206" s="51"/>
      <c r="C206" s="51" t="s">
        <v>743</v>
      </c>
      <c r="D206" s="58"/>
      <c r="E206" s="51"/>
      <c r="F206" s="485">
        <v>0.125</v>
      </c>
      <c r="G206" s="53" t="s">
        <v>256</v>
      </c>
      <c r="H206" s="77">
        <v>195.18</v>
      </c>
      <c r="I206" s="52" t="s">
        <v>257</v>
      </c>
      <c r="J206" s="58">
        <f>F206*H206</f>
        <v>24.397500000000001</v>
      </c>
      <c r="K206" s="51" t="s">
        <v>57</v>
      </c>
      <c r="L206" s="58"/>
      <c r="M206" s="58"/>
    </row>
    <row r="207" spans="1:26" ht="13.8" thickBot="1" x14ac:dyDescent="0.3">
      <c r="B207" s="51"/>
      <c r="C207" s="51" t="s">
        <v>265</v>
      </c>
      <c r="D207" s="51"/>
      <c r="E207" s="51"/>
      <c r="F207" s="95"/>
      <c r="G207" s="53" t="s">
        <v>256</v>
      </c>
      <c r="H207" s="77"/>
      <c r="I207" s="52" t="s">
        <v>257</v>
      </c>
      <c r="J207" s="58">
        <f t="shared" ref="J207:J213" si="17">F207*H207</f>
        <v>0</v>
      </c>
      <c r="K207" s="51" t="s">
        <v>57</v>
      </c>
      <c r="L207" s="58"/>
      <c r="M207" s="58"/>
    </row>
    <row r="208" spans="1:26" ht="13.8" thickBot="1" x14ac:dyDescent="0.3">
      <c r="B208" s="51"/>
      <c r="C208" s="51" t="s">
        <v>265</v>
      </c>
      <c r="D208" s="51"/>
      <c r="E208" s="51"/>
      <c r="F208" s="95"/>
      <c r="G208" s="53" t="s">
        <v>256</v>
      </c>
      <c r="H208" s="77"/>
      <c r="I208" s="52" t="s">
        <v>257</v>
      </c>
      <c r="J208" s="58">
        <f t="shared" si="17"/>
        <v>0</v>
      </c>
      <c r="K208" s="51" t="s">
        <v>57</v>
      </c>
      <c r="L208" s="58"/>
      <c r="M208" s="58"/>
    </row>
    <row r="209" spans="1:26" x14ac:dyDescent="0.25">
      <c r="B209" s="51"/>
      <c r="C209" s="51"/>
      <c r="D209" s="51"/>
      <c r="E209" s="51"/>
      <c r="F209" s="53"/>
      <c r="G209" s="53"/>
      <c r="H209" s="52"/>
      <c r="I209" s="52"/>
      <c r="J209" s="58"/>
      <c r="K209" s="51"/>
      <c r="L209" s="58"/>
      <c r="M209" s="58"/>
    </row>
    <row r="210" spans="1:26" ht="13.8" thickBot="1" x14ac:dyDescent="0.3">
      <c r="B210" s="171" t="s">
        <v>266</v>
      </c>
      <c r="C210" s="51"/>
      <c r="D210" s="51"/>
      <c r="E210" s="51"/>
      <c r="F210" s="53"/>
      <c r="G210" s="53"/>
      <c r="H210" s="52"/>
      <c r="I210" s="52"/>
      <c r="J210" s="58"/>
      <c r="K210" s="51"/>
      <c r="L210" s="58"/>
      <c r="M210" s="58"/>
    </row>
    <row r="211" spans="1:26" ht="13.8" thickBot="1" x14ac:dyDescent="0.3">
      <c r="B211" s="51"/>
      <c r="C211" s="51" t="s">
        <v>267</v>
      </c>
      <c r="D211" s="51"/>
      <c r="E211" s="51"/>
      <c r="F211" s="95"/>
      <c r="G211" s="53"/>
      <c r="H211" s="95"/>
      <c r="I211" s="52"/>
      <c r="J211" s="58">
        <f t="shared" si="17"/>
        <v>0</v>
      </c>
      <c r="K211" s="51" t="s">
        <v>57</v>
      </c>
      <c r="L211" s="58"/>
      <c r="M211" s="58"/>
    </row>
    <row r="212" spans="1:26" ht="13.8" thickBot="1" x14ac:dyDescent="0.3">
      <c r="B212" s="51"/>
      <c r="C212" s="51" t="s">
        <v>267</v>
      </c>
      <c r="D212" s="51"/>
      <c r="E212" s="51"/>
      <c r="F212" s="95"/>
      <c r="G212" s="53"/>
      <c r="H212" s="95"/>
      <c r="I212" s="52"/>
      <c r="J212" s="58">
        <f t="shared" si="17"/>
        <v>0</v>
      </c>
      <c r="K212" s="51" t="s">
        <v>57</v>
      </c>
      <c r="L212" s="58"/>
      <c r="M212" s="58"/>
    </row>
    <row r="213" spans="1:26" ht="13.8" thickBot="1" x14ac:dyDescent="0.3">
      <c r="B213" s="51"/>
      <c r="C213" s="51" t="s">
        <v>267</v>
      </c>
      <c r="D213" s="51"/>
      <c r="E213" s="51"/>
      <c r="F213" s="95"/>
      <c r="G213" s="53"/>
      <c r="H213" s="95"/>
      <c r="I213" s="52"/>
      <c r="J213" s="58">
        <f t="shared" si="17"/>
        <v>0</v>
      </c>
      <c r="K213" s="51" t="s">
        <v>57</v>
      </c>
      <c r="L213" s="58"/>
      <c r="M213" s="58"/>
    </row>
    <row r="214" spans="1:26" s="5" customFormat="1" x14ac:dyDescent="0.25">
      <c r="A214" s="478"/>
      <c r="B214" s="195"/>
      <c r="C214" s="195" t="s">
        <v>54</v>
      </c>
      <c r="D214" s="195"/>
      <c r="E214" s="195"/>
      <c r="F214" s="196"/>
      <c r="G214" s="196"/>
      <c r="H214" s="196"/>
      <c r="I214" s="197"/>
      <c r="J214" s="195">
        <f>SUM(J206:J213)</f>
        <v>24.397500000000001</v>
      </c>
      <c r="K214" s="195" t="s">
        <v>57</v>
      </c>
      <c r="L214" s="195"/>
      <c r="M214" s="195"/>
      <c r="N214"/>
      <c r="O214"/>
      <c r="P214"/>
      <c r="Q214"/>
      <c r="R214"/>
      <c r="S214"/>
      <c r="T214"/>
      <c r="U214"/>
      <c r="Y214"/>
      <c r="Z214"/>
    </row>
    <row r="215" spans="1:26" x14ac:dyDescent="0.25">
      <c r="B215" s="51"/>
      <c r="C215" s="51"/>
      <c r="D215" s="51"/>
      <c r="E215" s="51"/>
      <c r="F215" s="53"/>
      <c r="G215" s="53"/>
      <c r="H215" s="52"/>
      <c r="I215" s="52"/>
      <c r="J215" s="58"/>
      <c r="K215" s="51"/>
      <c r="L215" s="58"/>
      <c r="M215" s="58"/>
      <c r="N215" s="5"/>
      <c r="O215" s="5"/>
      <c r="P215" s="5"/>
      <c r="Q215" s="5"/>
      <c r="R215" s="5"/>
      <c r="S215" s="5"/>
      <c r="T215" s="5"/>
      <c r="U215" s="5"/>
      <c r="Y215" s="5"/>
      <c r="Z215" s="5"/>
    </row>
    <row r="216" spans="1:26" ht="42" customHeight="1" x14ac:dyDescent="0.25">
      <c r="B216" s="116"/>
      <c r="C216" s="116"/>
      <c r="D216" s="116"/>
      <c r="E216" s="116"/>
      <c r="F216" s="116"/>
      <c r="G216" s="116"/>
      <c r="H216" s="116"/>
      <c r="I216" s="116"/>
      <c r="J216" s="116"/>
      <c r="K216" s="116"/>
      <c r="L216" s="116"/>
      <c r="M216" s="116"/>
    </row>
    <row r="217" spans="1:26" ht="15.6" x14ac:dyDescent="0.3">
      <c r="B217" s="176" t="s">
        <v>744</v>
      </c>
      <c r="C217" s="177"/>
      <c r="D217" s="177"/>
      <c r="E217" s="177"/>
      <c r="F217" s="1067" t="s">
        <v>114</v>
      </c>
      <c r="G217" s="1067"/>
      <c r="H217" s="1067" t="s">
        <v>113</v>
      </c>
      <c r="I217" s="1067"/>
      <c r="J217" s="1067" t="s">
        <v>243</v>
      </c>
      <c r="K217" s="1067"/>
      <c r="L217" s="179"/>
      <c r="M217" s="179"/>
    </row>
    <row r="218" spans="1:26" ht="13.8" thickBot="1" x14ac:dyDescent="0.3">
      <c r="B218" s="177"/>
      <c r="C218" s="177"/>
      <c r="D218" s="177"/>
      <c r="E218" s="177"/>
      <c r="F218" s="177"/>
      <c r="G218" s="177"/>
      <c r="H218" s="178"/>
      <c r="I218" s="178"/>
      <c r="J218" s="179"/>
      <c r="K218" s="179"/>
      <c r="L218" s="179"/>
      <c r="M218" s="179"/>
    </row>
    <row r="219" spans="1:26" ht="13.8" thickBot="1" x14ac:dyDescent="0.3">
      <c r="B219" s="177"/>
      <c r="C219" s="177" t="s">
        <v>276</v>
      </c>
      <c r="D219" s="179"/>
      <c r="E219" s="177"/>
      <c r="F219" s="74"/>
      <c r="G219" s="177" t="s">
        <v>7</v>
      </c>
      <c r="H219" s="77"/>
      <c r="I219" s="178" t="s">
        <v>57</v>
      </c>
      <c r="J219" s="180">
        <f t="shared" ref="J219:J221" si="18">F219*H219</f>
        <v>0</v>
      </c>
      <c r="K219" s="177" t="s">
        <v>57</v>
      </c>
      <c r="L219" s="179"/>
      <c r="M219" s="179"/>
    </row>
    <row r="220" spans="1:26" ht="13.8" thickBot="1" x14ac:dyDescent="0.3">
      <c r="B220" s="177"/>
      <c r="C220" s="177" t="s">
        <v>276</v>
      </c>
      <c r="D220" s="177"/>
      <c r="E220" s="177"/>
      <c r="F220" s="74"/>
      <c r="G220" s="177" t="s">
        <v>7</v>
      </c>
      <c r="H220" s="77"/>
      <c r="I220" s="178" t="s">
        <v>57</v>
      </c>
      <c r="J220" s="180">
        <f t="shared" si="18"/>
        <v>0</v>
      </c>
      <c r="K220" s="177" t="s">
        <v>57</v>
      </c>
      <c r="L220" s="179"/>
      <c r="M220" s="179"/>
    </row>
    <row r="221" spans="1:26" ht="13.8" thickBot="1" x14ac:dyDescent="0.3">
      <c r="B221" s="177"/>
      <c r="C221" s="177" t="s">
        <v>276</v>
      </c>
      <c r="D221" s="177"/>
      <c r="E221" s="177"/>
      <c r="F221" s="74"/>
      <c r="G221" s="177" t="s">
        <v>7</v>
      </c>
      <c r="H221" s="77"/>
      <c r="I221" s="178" t="s">
        <v>57</v>
      </c>
      <c r="J221" s="180">
        <f t="shared" si="18"/>
        <v>0</v>
      </c>
      <c r="K221" s="177" t="s">
        <v>57</v>
      </c>
      <c r="L221" s="179"/>
      <c r="M221" s="179"/>
    </row>
    <row r="222" spans="1:26" s="5" customFormat="1" x14ac:dyDescent="0.25">
      <c r="A222" s="478"/>
      <c r="B222" s="204"/>
      <c r="C222" s="204" t="s">
        <v>54</v>
      </c>
      <c r="D222" s="204"/>
      <c r="E222" s="204"/>
      <c r="F222" s="204"/>
      <c r="G222" s="204"/>
      <c r="H222" s="205"/>
      <c r="I222" s="205"/>
      <c r="J222" s="206">
        <f>SUM(J219:J221)</f>
        <v>0</v>
      </c>
      <c r="K222" s="204" t="s">
        <v>57</v>
      </c>
      <c r="L222" s="204"/>
      <c r="M222" s="204"/>
      <c r="N222"/>
      <c r="O222"/>
      <c r="P222"/>
      <c r="Q222"/>
      <c r="R222"/>
      <c r="S222"/>
      <c r="T222"/>
      <c r="U222"/>
      <c r="Y222"/>
      <c r="Z222"/>
    </row>
    <row r="223" spans="1:26" x14ac:dyDescent="0.25">
      <c r="B223" s="177"/>
      <c r="C223" s="177"/>
      <c r="D223" s="177"/>
      <c r="E223" s="177"/>
      <c r="F223" s="177"/>
      <c r="G223" s="177"/>
      <c r="H223" s="178"/>
      <c r="I223" s="178"/>
      <c r="J223" s="180"/>
      <c r="K223" s="177"/>
      <c r="L223" s="179"/>
      <c r="M223" s="179"/>
      <c r="N223" s="5"/>
      <c r="O223" s="5"/>
      <c r="P223" s="5"/>
      <c r="Q223" s="5"/>
      <c r="R223" s="5"/>
      <c r="S223" s="5"/>
      <c r="T223" s="5"/>
      <c r="U223" s="5"/>
      <c r="Y223" s="5"/>
      <c r="Z223" s="5"/>
    </row>
    <row r="224" spans="1:26" ht="33" customHeight="1" x14ac:dyDescent="0.25">
      <c r="B224" s="116"/>
      <c r="C224" s="116"/>
      <c r="D224" s="116"/>
      <c r="E224" s="116"/>
      <c r="F224" s="116"/>
      <c r="G224" s="116"/>
      <c r="H224" s="116"/>
      <c r="I224" s="116"/>
      <c r="J224" s="116"/>
      <c r="K224" s="116"/>
      <c r="L224" s="116"/>
      <c r="M224" s="116"/>
    </row>
    <row r="225" spans="1:26" ht="15.6" x14ac:dyDescent="0.3">
      <c r="B225" s="181" t="s">
        <v>745</v>
      </c>
      <c r="C225" s="182"/>
      <c r="D225" s="182"/>
      <c r="E225" s="183"/>
      <c r="F225" s="182" t="s">
        <v>114</v>
      </c>
      <c r="G225" s="184"/>
      <c r="H225" s="184" t="s">
        <v>113</v>
      </c>
      <c r="I225" s="182"/>
      <c r="J225" s="182" t="s">
        <v>243</v>
      </c>
      <c r="K225" s="185"/>
      <c r="L225" s="185"/>
      <c r="M225" s="185"/>
    </row>
    <row r="226" spans="1:26" ht="16.2" thickBot="1" x14ac:dyDescent="0.35">
      <c r="B226" s="181"/>
      <c r="C226" s="182"/>
      <c r="D226" s="182"/>
      <c r="E226" s="183"/>
      <c r="F226" s="182"/>
      <c r="G226" s="184"/>
      <c r="H226" s="184"/>
      <c r="I226" s="182"/>
      <c r="J226" s="182"/>
      <c r="K226" s="185"/>
      <c r="L226" s="185"/>
      <c r="M226" s="185"/>
    </row>
    <row r="227" spans="1:26" ht="13.8" thickBot="1" x14ac:dyDescent="0.3">
      <c r="B227" s="182"/>
      <c r="C227" s="182" t="s">
        <v>278</v>
      </c>
      <c r="D227" s="185"/>
      <c r="E227" s="186"/>
      <c r="F227" s="74"/>
      <c r="G227" s="187" t="s">
        <v>279</v>
      </c>
      <c r="H227" s="74"/>
      <c r="I227" s="188" t="s">
        <v>280</v>
      </c>
      <c r="J227" s="185">
        <f>H227*F227</f>
        <v>0</v>
      </c>
      <c r="K227" s="188" t="s">
        <v>57</v>
      </c>
      <c r="L227" s="185"/>
      <c r="M227" s="185"/>
    </row>
    <row r="228" spans="1:26" ht="13.8" thickBot="1" x14ac:dyDescent="0.3">
      <c r="B228" s="182"/>
      <c r="C228" s="182" t="s">
        <v>685</v>
      </c>
      <c r="D228" s="188">
        <f>F253/2</f>
        <v>29</v>
      </c>
      <c r="E228" s="182" t="s">
        <v>282</v>
      </c>
      <c r="F228" s="74">
        <f>+D228*8</f>
        <v>232</v>
      </c>
      <c r="G228" s="184" t="s">
        <v>256</v>
      </c>
      <c r="H228" s="74">
        <v>0.83</v>
      </c>
      <c r="I228" s="188" t="s">
        <v>257</v>
      </c>
      <c r="J228" s="185">
        <f>H228*F228</f>
        <v>192.56</v>
      </c>
      <c r="K228" s="188" t="s">
        <v>57</v>
      </c>
      <c r="L228" s="185"/>
      <c r="M228" s="185"/>
    </row>
    <row r="229" spans="1:26" ht="13.8" thickBot="1" x14ac:dyDescent="0.3">
      <c r="B229" s="182"/>
      <c r="C229" s="182" t="s">
        <v>686</v>
      </c>
      <c r="D229" s="188">
        <f>D228</f>
        <v>29</v>
      </c>
      <c r="E229" s="182" t="s">
        <v>282</v>
      </c>
      <c r="F229" s="74">
        <v>11.88</v>
      </c>
      <c r="G229" s="184" t="s">
        <v>212</v>
      </c>
      <c r="H229" s="74">
        <v>4</v>
      </c>
      <c r="I229" s="188" t="s">
        <v>206</v>
      </c>
      <c r="J229" s="185">
        <f t="shared" ref="J229:J233" si="19">H229*F229</f>
        <v>47.52</v>
      </c>
      <c r="K229" s="188" t="s">
        <v>57</v>
      </c>
      <c r="L229" s="185"/>
      <c r="M229" s="185"/>
    </row>
    <row r="230" spans="1:26" ht="13.8" thickBot="1" x14ac:dyDescent="0.3">
      <c r="B230" s="182"/>
      <c r="C230" s="182" t="s">
        <v>284</v>
      </c>
      <c r="D230" s="185"/>
      <c r="E230" s="188"/>
      <c r="F230" s="74">
        <v>200</v>
      </c>
      <c r="G230" s="184" t="s">
        <v>256</v>
      </c>
      <c r="H230" s="74">
        <v>1.53</v>
      </c>
      <c r="I230" s="188" t="s">
        <v>257</v>
      </c>
      <c r="J230" s="185">
        <f t="shared" si="19"/>
        <v>306</v>
      </c>
      <c r="K230" s="188" t="s">
        <v>57</v>
      </c>
      <c r="L230" s="185"/>
      <c r="M230" s="185"/>
    </row>
    <row r="231" spans="1:26" ht="13.8" thickBot="1" x14ac:dyDescent="0.3">
      <c r="B231" s="182"/>
      <c r="C231" s="182" t="s">
        <v>285</v>
      </c>
      <c r="D231" s="185"/>
      <c r="E231" s="188"/>
      <c r="F231" s="74">
        <v>1.48</v>
      </c>
      <c r="G231" s="184" t="s">
        <v>256</v>
      </c>
      <c r="H231" s="74">
        <v>1.6</v>
      </c>
      <c r="I231" s="188" t="s">
        <v>257</v>
      </c>
      <c r="J231" s="185">
        <f t="shared" si="19"/>
        <v>2.3679999999999999</v>
      </c>
      <c r="K231" s="188" t="s">
        <v>57</v>
      </c>
      <c r="L231" s="185"/>
      <c r="M231" s="185"/>
    </row>
    <row r="232" spans="1:26" ht="13.8" thickBot="1" x14ac:dyDescent="0.3">
      <c r="B232" s="182"/>
      <c r="C232" s="182" t="s">
        <v>286</v>
      </c>
      <c r="D232" s="185"/>
      <c r="E232" s="188"/>
      <c r="F232" s="74"/>
      <c r="G232" s="184"/>
      <c r="H232" s="74"/>
      <c r="I232" s="188"/>
      <c r="J232" s="185">
        <f t="shared" si="19"/>
        <v>0</v>
      </c>
      <c r="K232" s="188" t="s">
        <v>57</v>
      </c>
      <c r="L232" s="185"/>
      <c r="M232" s="185"/>
    </row>
    <row r="233" spans="1:26" ht="13.8" thickBot="1" x14ac:dyDescent="0.3">
      <c r="B233" s="185"/>
      <c r="C233" s="182" t="s">
        <v>286</v>
      </c>
      <c r="D233" s="185"/>
      <c r="E233" s="185"/>
      <c r="F233" s="74"/>
      <c r="G233" s="185"/>
      <c r="H233" s="74"/>
      <c r="I233" s="185"/>
      <c r="J233" s="185">
        <f t="shared" si="19"/>
        <v>0</v>
      </c>
      <c r="K233" s="188" t="s">
        <v>57</v>
      </c>
      <c r="L233" s="185"/>
      <c r="M233" s="185"/>
    </row>
    <row r="234" spans="1:26" s="5" customFormat="1" x14ac:dyDescent="0.25">
      <c r="A234" s="478"/>
      <c r="B234" s="207"/>
      <c r="C234" s="207" t="s">
        <v>54</v>
      </c>
      <c r="D234" s="207"/>
      <c r="E234" s="207"/>
      <c r="F234" s="207"/>
      <c r="G234" s="207"/>
      <c r="H234" s="207"/>
      <c r="I234" s="207"/>
      <c r="J234" s="207">
        <f>SUM(J227:J233)</f>
        <v>548.44800000000009</v>
      </c>
      <c r="K234" s="208" t="s">
        <v>57</v>
      </c>
      <c r="L234" s="207"/>
      <c r="M234" s="207"/>
      <c r="N234"/>
      <c r="O234"/>
      <c r="P234"/>
      <c r="Q234"/>
      <c r="R234"/>
      <c r="S234"/>
      <c r="T234"/>
      <c r="U234"/>
      <c r="Y234"/>
      <c r="Z234"/>
    </row>
    <row r="235" spans="1:26" x14ac:dyDescent="0.25">
      <c r="B235" s="185"/>
      <c r="C235" s="185"/>
      <c r="D235" s="185"/>
      <c r="E235" s="185"/>
      <c r="F235" s="185"/>
      <c r="G235" s="185"/>
      <c r="H235" s="185"/>
      <c r="I235" s="185"/>
      <c r="J235" s="185"/>
      <c r="K235" s="185"/>
      <c r="L235" s="185"/>
      <c r="M235" s="185"/>
      <c r="N235" s="5"/>
      <c r="O235" s="5"/>
      <c r="P235" s="5"/>
      <c r="Q235" s="5"/>
      <c r="R235" s="5"/>
      <c r="S235" s="5"/>
      <c r="T235" s="5"/>
      <c r="U235" s="5"/>
      <c r="Y235" s="5"/>
      <c r="Z235" s="5"/>
    </row>
    <row r="236" spans="1:26" ht="37.950000000000003" customHeight="1" x14ac:dyDescent="0.25">
      <c r="B236" s="116"/>
      <c r="C236" s="116"/>
      <c r="D236" s="116"/>
      <c r="E236" s="116"/>
      <c r="F236" s="116"/>
      <c r="G236" s="116"/>
      <c r="H236" s="116"/>
      <c r="I236" s="116"/>
      <c r="J236" s="116"/>
      <c r="K236" s="116"/>
      <c r="L236" s="116"/>
      <c r="M236" s="116"/>
    </row>
    <row r="237" spans="1:26" ht="22.2" customHeight="1" x14ac:dyDescent="0.3">
      <c r="B237" s="88" t="s">
        <v>746</v>
      </c>
      <c r="C237" s="79"/>
      <c r="D237" s="79"/>
      <c r="E237" s="79"/>
      <c r="F237" s="79"/>
      <c r="G237" s="79"/>
      <c r="H237" s="79"/>
      <c r="I237" s="79"/>
      <c r="J237" s="79"/>
      <c r="K237" s="79"/>
      <c r="L237" s="79"/>
      <c r="M237" s="79"/>
    </row>
    <row r="238" spans="1:26" ht="12" customHeight="1" x14ac:dyDescent="0.3">
      <c r="B238" s="88"/>
      <c r="C238" s="79"/>
      <c r="D238" s="79"/>
      <c r="E238" s="79"/>
      <c r="F238" s="79"/>
      <c r="G238" s="79"/>
      <c r="H238" s="79"/>
      <c r="I238" s="79"/>
      <c r="J238" s="79"/>
      <c r="K238" s="79"/>
      <c r="L238" s="79"/>
      <c r="M238" s="79"/>
    </row>
    <row r="239" spans="1:26" ht="40.200000000000003" customHeight="1" x14ac:dyDescent="0.25">
      <c r="B239" s="1096" t="s">
        <v>699</v>
      </c>
      <c r="C239" s="1096"/>
      <c r="D239" s="1096"/>
      <c r="E239" s="1096"/>
      <c r="F239" s="1096"/>
      <c r="G239" s="1096"/>
      <c r="H239" s="1096"/>
      <c r="I239" s="1096"/>
      <c r="J239" s="1096"/>
      <c r="K239" s="1096"/>
      <c r="L239" s="1096"/>
      <c r="M239" s="1096"/>
    </row>
    <row r="240" spans="1:26" ht="22.2" customHeight="1" x14ac:dyDescent="0.3">
      <c r="B240" s="88"/>
      <c r="C240" s="79"/>
      <c r="D240" s="79"/>
      <c r="E240" s="83"/>
      <c r="F240" s="83"/>
      <c r="G240" s="83"/>
      <c r="H240" s="84"/>
      <c r="I240" s="84"/>
      <c r="J240" s="83"/>
      <c r="K240" s="83"/>
      <c r="L240" s="84"/>
      <c r="M240" s="84"/>
    </row>
    <row r="241" spans="1:26" ht="22.2" customHeight="1" x14ac:dyDescent="0.3">
      <c r="B241" s="88"/>
      <c r="C241" s="79"/>
      <c r="D241" s="79"/>
      <c r="E241" s="1069" t="s">
        <v>290</v>
      </c>
      <c r="F241" s="1069"/>
      <c r="G241" s="1069"/>
      <c r="H241" s="1070" t="s">
        <v>113</v>
      </c>
      <c r="I241" s="1070"/>
      <c r="J241" s="1069" t="s">
        <v>291</v>
      </c>
      <c r="K241" s="1069"/>
      <c r="L241" s="1070" t="s">
        <v>113</v>
      </c>
      <c r="M241" s="1070"/>
    </row>
    <row r="242" spans="1:26" ht="10.95" customHeight="1" thickBot="1" x14ac:dyDescent="0.3">
      <c r="B242" s="78"/>
      <c r="C242" s="79"/>
      <c r="D242" s="79"/>
      <c r="E242" s="79"/>
      <c r="F242" s="79"/>
      <c r="G242" s="79"/>
      <c r="H242" s="79"/>
      <c r="I242" s="79"/>
      <c r="J242" s="79"/>
      <c r="K242" s="79"/>
      <c r="L242" s="79"/>
      <c r="M242" s="79"/>
    </row>
    <row r="243" spans="1:26" ht="13.8" thickBot="1" x14ac:dyDescent="0.3">
      <c r="B243" s="79"/>
      <c r="C243" s="80" t="s">
        <v>297</v>
      </c>
      <c r="D243" s="79"/>
      <c r="E243" s="79"/>
      <c r="F243" s="91">
        <v>2</v>
      </c>
      <c r="G243" s="82" t="s">
        <v>293</v>
      </c>
      <c r="H243" s="90">
        <f t="shared" ref="H243:H252" si="20">$H$163</f>
        <v>14.5</v>
      </c>
      <c r="I243" s="82" t="s">
        <v>294</v>
      </c>
      <c r="J243" s="92"/>
      <c r="K243" s="82" t="s">
        <v>293</v>
      </c>
      <c r="L243" s="90">
        <f t="shared" ref="L243:L252" si="21">$L$163</f>
        <v>14.5</v>
      </c>
      <c r="M243" s="82" t="s">
        <v>294</v>
      </c>
    </row>
    <row r="244" spans="1:26" ht="13.8" thickBot="1" x14ac:dyDescent="0.3">
      <c r="B244" s="79"/>
      <c r="C244" s="80" t="s">
        <v>747</v>
      </c>
      <c r="D244" s="79"/>
      <c r="E244" s="79"/>
      <c r="F244" s="91">
        <v>5</v>
      </c>
      <c r="G244" s="82" t="s">
        <v>293</v>
      </c>
      <c r="H244" s="90">
        <f t="shared" si="20"/>
        <v>14.5</v>
      </c>
      <c r="I244" s="82" t="s">
        <v>294</v>
      </c>
      <c r="J244" s="92"/>
      <c r="K244" s="82" t="s">
        <v>293</v>
      </c>
      <c r="L244" s="90">
        <f t="shared" si="21"/>
        <v>14.5</v>
      </c>
      <c r="M244" s="82" t="s">
        <v>294</v>
      </c>
    </row>
    <row r="245" spans="1:26" ht="13.8" thickBot="1" x14ac:dyDescent="0.3">
      <c r="B245" s="79"/>
      <c r="C245" s="80" t="s">
        <v>748</v>
      </c>
      <c r="D245" s="79"/>
      <c r="E245" s="79"/>
      <c r="F245" s="91">
        <v>1</v>
      </c>
      <c r="G245" s="82" t="s">
        <v>293</v>
      </c>
      <c r="H245" s="90">
        <f t="shared" si="20"/>
        <v>14.5</v>
      </c>
      <c r="I245" s="82" t="s">
        <v>294</v>
      </c>
      <c r="J245" s="92"/>
      <c r="K245" s="82" t="s">
        <v>293</v>
      </c>
      <c r="L245" s="90">
        <f t="shared" si="21"/>
        <v>14.5</v>
      </c>
      <c r="M245" s="82" t="s">
        <v>294</v>
      </c>
    </row>
    <row r="246" spans="1:26" ht="13.8" thickBot="1" x14ac:dyDescent="0.3">
      <c r="B246" s="79"/>
      <c r="C246" s="80" t="s">
        <v>569</v>
      </c>
      <c r="D246" s="79"/>
      <c r="E246" s="79"/>
      <c r="F246" s="91">
        <v>20</v>
      </c>
      <c r="G246" s="82" t="s">
        <v>293</v>
      </c>
      <c r="H246" s="90">
        <f t="shared" si="20"/>
        <v>14.5</v>
      </c>
      <c r="I246" s="82" t="s">
        <v>294</v>
      </c>
      <c r="J246" s="92">
        <v>40</v>
      </c>
      <c r="K246" s="82" t="s">
        <v>293</v>
      </c>
      <c r="L246" s="90">
        <f t="shared" si="21"/>
        <v>14.5</v>
      </c>
      <c r="M246" s="82" t="s">
        <v>294</v>
      </c>
    </row>
    <row r="247" spans="1:26" ht="13.8" thickBot="1" x14ac:dyDescent="0.3">
      <c r="B247" s="79"/>
      <c r="C247" s="80" t="s">
        <v>303</v>
      </c>
      <c r="D247" s="79"/>
      <c r="E247" s="79"/>
      <c r="F247" s="91"/>
      <c r="G247" s="82" t="s">
        <v>293</v>
      </c>
      <c r="H247" s="90">
        <f t="shared" si="20"/>
        <v>14.5</v>
      </c>
      <c r="I247" s="82" t="s">
        <v>294</v>
      </c>
      <c r="J247" s="92"/>
      <c r="K247" s="82" t="s">
        <v>293</v>
      </c>
      <c r="L247" s="90">
        <f t="shared" si="21"/>
        <v>14.5</v>
      </c>
      <c r="M247" s="82" t="s">
        <v>294</v>
      </c>
    </row>
    <row r="248" spans="1:26" ht="13.8" thickBot="1" x14ac:dyDescent="0.3">
      <c r="B248" s="79"/>
      <c r="C248" s="80" t="s">
        <v>691</v>
      </c>
      <c r="D248" s="79"/>
      <c r="E248" s="79"/>
      <c r="F248" s="91">
        <v>10</v>
      </c>
      <c r="G248" s="82" t="s">
        <v>293</v>
      </c>
      <c r="H248" s="90">
        <f t="shared" si="20"/>
        <v>14.5</v>
      </c>
      <c r="I248" s="82" t="s">
        <v>294</v>
      </c>
      <c r="J248" s="92"/>
      <c r="K248" s="82" t="s">
        <v>293</v>
      </c>
      <c r="L248" s="90">
        <f t="shared" si="21"/>
        <v>14.5</v>
      </c>
      <c r="M248" s="82" t="s">
        <v>294</v>
      </c>
    </row>
    <row r="249" spans="1:26" ht="13.8" thickBot="1" x14ac:dyDescent="0.3">
      <c r="B249" s="79"/>
      <c r="C249" s="80" t="s">
        <v>503</v>
      </c>
      <c r="D249" s="79"/>
      <c r="E249" s="79"/>
      <c r="F249" s="92">
        <v>20</v>
      </c>
      <c r="G249" s="82" t="s">
        <v>293</v>
      </c>
      <c r="H249" s="90">
        <f t="shared" si="20"/>
        <v>14.5</v>
      </c>
      <c r="I249" s="82" t="s">
        <v>294</v>
      </c>
      <c r="J249" s="92"/>
      <c r="K249" s="82" t="s">
        <v>293</v>
      </c>
      <c r="L249" s="90">
        <f t="shared" si="21"/>
        <v>14.5</v>
      </c>
      <c r="M249" s="82" t="s">
        <v>294</v>
      </c>
    </row>
    <row r="250" spans="1:26" ht="13.8" thickBot="1" x14ac:dyDescent="0.3">
      <c r="B250" s="79"/>
      <c r="C250" s="80" t="s">
        <v>431</v>
      </c>
      <c r="D250" s="79"/>
      <c r="E250" s="79"/>
      <c r="F250" s="92"/>
      <c r="G250" s="82" t="s">
        <v>293</v>
      </c>
      <c r="H250" s="90">
        <f t="shared" si="20"/>
        <v>14.5</v>
      </c>
      <c r="I250" s="82" t="s">
        <v>294</v>
      </c>
      <c r="J250" s="75"/>
      <c r="K250" s="82" t="s">
        <v>293</v>
      </c>
      <c r="L250" s="90">
        <f t="shared" si="21"/>
        <v>14.5</v>
      </c>
      <c r="M250" s="82" t="s">
        <v>294</v>
      </c>
    </row>
    <row r="251" spans="1:26" ht="13.8" thickBot="1" x14ac:dyDescent="0.3">
      <c r="B251" s="79"/>
      <c r="C251" s="80" t="s">
        <v>431</v>
      </c>
      <c r="D251" s="79"/>
      <c r="E251" s="79"/>
      <c r="F251" s="92"/>
      <c r="G251" s="82" t="s">
        <v>293</v>
      </c>
      <c r="H251" s="90">
        <f t="shared" si="20"/>
        <v>14.5</v>
      </c>
      <c r="I251" s="82" t="s">
        <v>294</v>
      </c>
      <c r="J251" s="75"/>
      <c r="K251" s="82" t="s">
        <v>293</v>
      </c>
      <c r="L251" s="90">
        <f t="shared" si="21"/>
        <v>14.5</v>
      </c>
      <c r="M251" s="82" t="s">
        <v>294</v>
      </c>
    </row>
    <row r="252" spans="1:26" ht="13.8" thickBot="1" x14ac:dyDescent="0.3">
      <c r="B252" s="79"/>
      <c r="C252" s="80" t="s">
        <v>431</v>
      </c>
      <c r="D252" s="81"/>
      <c r="E252" s="81"/>
      <c r="F252" s="75"/>
      <c r="G252" s="82" t="s">
        <v>293</v>
      </c>
      <c r="H252" s="90">
        <f t="shared" si="20"/>
        <v>14.5</v>
      </c>
      <c r="I252" s="82" t="s">
        <v>294</v>
      </c>
      <c r="J252" s="75"/>
      <c r="K252" s="82" t="s">
        <v>293</v>
      </c>
      <c r="L252" s="90">
        <f t="shared" si="21"/>
        <v>14.5</v>
      </c>
      <c r="M252" s="82" t="s">
        <v>294</v>
      </c>
    </row>
    <row r="253" spans="1:26" s="5" customFormat="1" x14ac:dyDescent="0.25">
      <c r="A253" s="478"/>
      <c r="B253" s="209"/>
      <c r="C253" s="210" t="s">
        <v>54</v>
      </c>
      <c r="D253" s="211"/>
      <c r="E253" s="211"/>
      <c r="F253" s="212">
        <f>SUM(F243:F252)</f>
        <v>58</v>
      </c>
      <c r="G253" s="209" t="s">
        <v>293</v>
      </c>
      <c r="H253" s="213">
        <f>F253*H163</f>
        <v>841</v>
      </c>
      <c r="I253" s="209" t="s">
        <v>57</v>
      </c>
      <c r="J253" s="212">
        <f>SUM(J243:J252)</f>
        <v>40</v>
      </c>
      <c r="K253" s="209" t="s">
        <v>293</v>
      </c>
      <c r="L253" s="213">
        <f>J253*L163</f>
        <v>580</v>
      </c>
      <c r="M253" s="209" t="s">
        <v>57</v>
      </c>
      <c r="N253"/>
      <c r="O253"/>
      <c r="P253"/>
      <c r="Q253"/>
      <c r="R253"/>
      <c r="S253"/>
      <c r="T253"/>
      <c r="U253"/>
      <c r="Y253"/>
      <c r="Z253"/>
    </row>
    <row r="254" spans="1:26" s="5" customFormat="1" ht="70.95" customHeight="1" thickBot="1" x14ac:dyDescent="0.3">
      <c r="A254" s="478"/>
      <c r="B254" s="436"/>
      <c r="C254" s="440"/>
      <c r="D254" s="441"/>
      <c r="E254" s="441"/>
      <c r="F254" s="442"/>
      <c r="G254" s="436"/>
      <c r="H254" s="443"/>
      <c r="I254" s="436"/>
      <c r="J254" s="442"/>
      <c r="K254" s="436"/>
      <c r="L254" s="443"/>
      <c r="M254" s="436"/>
    </row>
    <row r="255" spans="1:26" ht="21" customHeight="1" thickBot="1" x14ac:dyDescent="0.45">
      <c r="B255" s="1078" t="s">
        <v>240</v>
      </c>
      <c r="C255" s="1079"/>
      <c r="D255" s="1079"/>
      <c r="E255" s="1080"/>
      <c r="F255" s="116"/>
      <c r="G255" s="116"/>
      <c r="H255" s="116"/>
      <c r="I255" s="116"/>
      <c r="J255" s="1140" t="s">
        <v>241</v>
      </c>
      <c r="K255" s="1140"/>
      <c r="L255" s="116"/>
      <c r="M255" s="116"/>
      <c r="N255" s="462"/>
      <c r="O255" s="5"/>
      <c r="P255" s="5"/>
      <c r="Q255" s="5"/>
      <c r="R255" s="5"/>
      <c r="S255" s="5"/>
      <c r="T255" s="5"/>
      <c r="U255" s="5"/>
      <c r="Y255" s="5"/>
      <c r="Z255" s="5"/>
    </row>
    <row r="256" spans="1:26" x14ac:dyDescent="0.25">
      <c r="B256" s="116"/>
      <c r="C256" s="116"/>
      <c r="D256" s="116"/>
      <c r="E256" s="116"/>
      <c r="F256" s="116"/>
      <c r="G256" s="116"/>
      <c r="H256" s="116"/>
      <c r="I256" s="116"/>
      <c r="J256" s="116"/>
      <c r="K256" s="116"/>
      <c r="L256" s="116"/>
      <c r="M256" s="116"/>
    </row>
    <row r="257" spans="1:26" ht="15.6" x14ac:dyDescent="0.3">
      <c r="B257" s="96" t="s">
        <v>749</v>
      </c>
      <c r="C257" s="97"/>
      <c r="D257" s="97"/>
      <c r="E257" s="97"/>
      <c r="F257" s="1074" t="s">
        <v>114</v>
      </c>
      <c r="G257" s="1074"/>
      <c r="H257" s="1074" t="s">
        <v>113</v>
      </c>
      <c r="I257" s="1074"/>
      <c r="J257" s="1074" t="s">
        <v>243</v>
      </c>
      <c r="K257" s="1074"/>
      <c r="L257" s="99"/>
      <c r="M257" s="99"/>
    </row>
    <row r="258" spans="1:26" ht="13.8" thickBot="1" x14ac:dyDescent="0.3">
      <c r="B258" s="97"/>
      <c r="C258" s="97"/>
      <c r="D258" s="97"/>
      <c r="E258" s="97"/>
      <c r="F258" s="97"/>
      <c r="G258" s="97"/>
      <c r="H258" s="98"/>
      <c r="I258" s="98"/>
      <c r="J258" s="99"/>
      <c r="K258" s="99"/>
      <c r="L258" s="99"/>
      <c r="M258" s="99"/>
    </row>
    <row r="259" spans="1:26" ht="13.8" thickBot="1" x14ac:dyDescent="0.3">
      <c r="B259" s="97"/>
      <c r="C259" s="97" t="s">
        <v>683</v>
      </c>
      <c r="D259" s="99"/>
      <c r="E259" s="97"/>
      <c r="F259" s="94">
        <v>230</v>
      </c>
      <c r="G259" s="97" t="s">
        <v>212</v>
      </c>
      <c r="H259" s="77">
        <v>1.53</v>
      </c>
      <c r="I259" s="98" t="s">
        <v>206</v>
      </c>
      <c r="J259" s="100">
        <f>F259*H259</f>
        <v>351.90000000000003</v>
      </c>
      <c r="K259" s="97" t="s">
        <v>57</v>
      </c>
      <c r="L259" s="99"/>
      <c r="M259" s="99"/>
    </row>
    <row r="260" spans="1:26" ht="13.8" thickBot="1" x14ac:dyDescent="0.3">
      <c r="B260" s="97"/>
      <c r="C260" s="97" t="s">
        <v>251</v>
      </c>
      <c r="D260" s="99"/>
      <c r="E260" s="97"/>
      <c r="F260" s="94"/>
      <c r="G260" s="97" t="s">
        <v>212</v>
      </c>
      <c r="H260" s="77"/>
      <c r="I260" s="98" t="s">
        <v>206</v>
      </c>
      <c r="J260" s="100">
        <f t="shared" ref="J260:J262" si="22">F260*H260</f>
        <v>0</v>
      </c>
      <c r="K260" s="97" t="s">
        <v>57</v>
      </c>
      <c r="L260" s="99"/>
      <c r="M260" s="99"/>
    </row>
    <row r="261" spans="1:26" ht="13.8" thickBot="1" x14ac:dyDescent="0.3">
      <c r="B261" s="97"/>
      <c r="C261" s="97" t="s">
        <v>251</v>
      </c>
      <c r="D261" s="99"/>
      <c r="E261" s="97"/>
      <c r="F261" s="74"/>
      <c r="G261" s="97" t="s">
        <v>212</v>
      </c>
      <c r="H261" s="77"/>
      <c r="I261" s="98" t="s">
        <v>206</v>
      </c>
      <c r="J261" s="100">
        <f t="shared" si="22"/>
        <v>0</v>
      </c>
      <c r="K261" s="97" t="s">
        <v>57</v>
      </c>
      <c r="L261" s="99"/>
      <c r="M261" s="99"/>
    </row>
    <row r="262" spans="1:26" ht="13.8" thickBot="1" x14ac:dyDescent="0.3">
      <c r="B262" s="97"/>
      <c r="C262" s="97" t="s">
        <v>251</v>
      </c>
      <c r="D262" s="99"/>
      <c r="E262" s="97"/>
      <c r="F262" s="74"/>
      <c r="G262" s="97" t="s">
        <v>212</v>
      </c>
      <c r="H262" s="77"/>
      <c r="I262" s="98" t="s">
        <v>206</v>
      </c>
      <c r="J262" s="100">
        <f t="shared" si="22"/>
        <v>0</v>
      </c>
      <c r="K262" s="97" t="s">
        <v>57</v>
      </c>
      <c r="L262" s="99"/>
      <c r="M262" s="99"/>
    </row>
    <row r="263" spans="1:26" s="5" customFormat="1" x14ac:dyDescent="0.25">
      <c r="A263" s="478"/>
      <c r="B263" s="214"/>
      <c r="C263" s="214" t="s">
        <v>54</v>
      </c>
      <c r="D263" s="214"/>
      <c r="E263" s="214"/>
      <c r="F263" s="214"/>
      <c r="G263" s="214"/>
      <c r="H263" s="214"/>
      <c r="I263" s="215"/>
      <c r="J263" s="216">
        <f>SUM(J259:J262)</f>
        <v>351.90000000000003</v>
      </c>
      <c r="K263" s="214" t="s">
        <v>57</v>
      </c>
      <c r="L263" s="214"/>
      <c r="M263" s="214"/>
      <c r="N263"/>
      <c r="O263"/>
      <c r="P263"/>
      <c r="Q263"/>
      <c r="R263"/>
      <c r="S263"/>
      <c r="T263"/>
      <c r="U263"/>
      <c r="Y263"/>
      <c r="Z263"/>
    </row>
    <row r="264" spans="1:26" x14ac:dyDescent="0.25">
      <c r="B264" s="97"/>
      <c r="C264" s="97"/>
      <c r="D264" s="97"/>
      <c r="E264" s="97"/>
      <c r="F264" s="97"/>
      <c r="G264" s="97"/>
      <c r="H264" s="97"/>
      <c r="I264" s="98"/>
      <c r="J264" s="100"/>
      <c r="K264" s="97"/>
      <c r="L264" s="99"/>
      <c r="M264" s="99"/>
      <c r="N264" s="5"/>
      <c r="O264" s="5"/>
      <c r="P264" s="5"/>
      <c r="Q264" s="5"/>
      <c r="R264" s="5"/>
      <c r="S264" s="5"/>
      <c r="T264" s="5"/>
      <c r="U264" s="5"/>
      <c r="Y264" s="5"/>
      <c r="Z264" s="5"/>
    </row>
    <row r="265" spans="1:26" ht="19.2" customHeight="1" x14ac:dyDescent="0.25">
      <c r="B265" s="116"/>
      <c r="C265" s="116"/>
      <c r="D265" s="116"/>
      <c r="E265" s="116"/>
      <c r="F265" s="116"/>
      <c r="G265" s="116"/>
      <c r="H265" s="116"/>
      <c r="I265" s="116"/>
      <c r="J265" s="116"/>
      <c r="K265" s="116"/>
      <c r="L265" s="116"/>
      <c r="M265" s="116"/>
    </row>
    <row r="266" spans="1:26" ht="15.6" x14ac:dyDescent="0.3">
      <c r="B266" s="85" t="s">
        <v>708</v>
      </c>
      <c r="C266" s="51"/>
      <c r="D266" s="51"/>
      <c r="E266" s="51"/>
      <c r="F266" s="1075" t="s">
        <v>114</v>
      </c>
      <c r="G266" s="1075"/>
      <c r="H266" s="1076" t="s">
        <v>113</v>
      </c>
      <c r="I266" s="1076"/>
      <c r="J266" s="1075" t="s">
        <v>243</v>
      </c>
      <c r="K266" s="1075"/>
      <c r="L266" s="58"/>
      <c r="M266" s="58"/>
    </row>
    <row r="267" spans="1:26" ht="15.6" x14ac:dyDescent="0.3">
      <c r="B267" s="85"/>
      <c r="C267" s="51"/>
      <c r="D267" s="387" t="s">
        <v>253</v>
      </c>
      <c r="E267" s="51"/>
      <c r="F267" s="59"/>
      <c r="G267" s="59"/>
      <c r="H267" s="60"/>
      <c r="I267" s="60"/>
      <c r="J267" s="59"/>
      <c r="K267" s="59"/>
      <c r="L267" s="58"/>
      <c r="M267" s="58"/>
    </row>
    <row r="268" spans="1:26" ht="13.8" thickBot="1" x14ac:dyDescent="0.3">
      <c r="B268" s="171" t="s">
        <v>254</v>
      </c>
      <c r="C268" s="51"/>
      <c r="D268" s="51"/>
      <c r="E268" s="51"/>
      <c r="F268" s="53"/>
      <c r="G268" s="53"/>
      <c r="H268" s="52"/>
      <c r="I268" s="52"/>
      <c r="J268" s="58"/>
      <c r="K268" s="58"/>
      <c r="L268" s="58"/>
      <c r="M268" s="58"/>
    </row>
    <row r="269" spans="1:26" ht="13.8" thickBot="1" x14ac:dyDescent="0.3">
      <c r="B269" s="51"/>
      <c r="C269" s="51" t="s">
        <v>750</v>
      </c>
      <c r="D269" s="58"/>
      <c r="E269" s="51"/>
      <c r="F269" s="95">
        <v>0.2</v>
      </c>
      <c r="G269" s="53" t="s">
        <v>212</v>
      </c>
      <c r="H269" s="77">
        <v>300.7</v>
      </c>
      <c r="I269" s="52" t="s">
        <v>206</v>
      </c>
      <c r="J269" s="58">
        <f>F269*H269</f>
        <v>60.14</v>
      </c>
      <c r="K269" s="51" t="s">
        <v>57</v>
      </c>
      <c r="L269" s="58"/>
      <c r="M269" s="58"/>
    </row>
    <row r="270" spans="1:26" ht="13.8" thickBot="1" x14ac:dyDescent="0.3">
      <c r="B270" s="51"/>
      <c r="C270" s="51" t="s">
        <v>265</v>
      </c>
      <c r="D270" s="51"/>
      <c r="E270" s="51"/>
      <c r="F270" s="95"/>
      <c r="G270" s="53" t="s">
        <v>256</v>
      </c>
      <c r="H270" s="77"/>
      <c r="I270" s="52" t="s">
        <v>257</v>
      </c>
      <c r="J270" s="58">
        <f t="shared" ref="J270:J276" si="23">F270*H270</f>
        <v>0</v>
      </c>
      <c r="K270" s="51" t="s">
        <v>57</v>
      </c>
      <c r="L270" s="58"/>
      <c r="M270" s="58"/>
    </row>
    <row r="271" spans="1:26" ht="13.8" thickBot="1" x14ac:dyDescent="0.3">
      <c r="B271" s="51"/>
      <c r="C271" s="51" t="s">
        <v>265</v>
      </c>
      <c r="D271" s="51"/>
      <c r="E271" s="51"/>
      <c r="F271" s="95"/>
      <c r="G271" s="53" t="s">
        <v>256</v>
      </c>
      <c r="H271" s="77"/>
      <c r="I271" s="52" t="s">
        <v>257</v>
      </c>
      <c r="J271" s="58">
        <f t="shared" si="23"/>
        <v>0</v>
      </c>
      <c r="K271" s="51" t="s">
        <v>57</v>
      </c>
      <c r="L271" s="58"/>
      <c r="M271" s="58"/>
    </row>
    <row r="272" spans="1:26" x14ac:dyDescent="0.25">
      <c r="B272" s="51"/>
      <c r="C272" s="51"/>
      <c r="D272" s="51"/>
      <c r="E272" s="51"/>
      <c r="F272" s="53"/>
      <c r="G272" s="53"/>
      <c r="H272" s="52"/>
      <c r="I272" s="52"/>
      <c r="J272" s="58"/>
      <c r="K272" s="51"/>
      <c r="L272" s="58"/>
      <c r="M272" s="58"/>
    </row>
    <row r="273" spans="1:26" ht="13.8" thickBot="1" x14ac:dyDescent="0.3">
      <c r="B273" s="171" t="s">
        <v>266</v>
      </c>
      <c r="C273" s="51"/>
      <c r="D273" s="51"/>
      <c r="E273" s="51"/>
      <c r="F273" s="53"/>
      <c r="G273" s="53"/>
      <c r="H273" s="52"/>
      <c r="I273" s="52"/>
      <c r="J273" s="58"/>
      <c r="K273" s="51"/>
      <c r="L273" s="58"/>
      <c r="M273" s="58"/>
    </row>
    <row r="274" spans="1:26" ht="13.8" thickBot="1" x14ac:dyDescent="0.3">
      <c r="B274" s="51"/>
      <c r="C274" s="51" t="s">
        <v>267</v>
      </c>
      <c r="D274" s="51"/>
      <c r="E274" s="51"/>
      <c r="F274" s="95"/>
      <c r="G274" s="53"/>
      <c r="H274" s="95"/>
      <c r="I274" s="52"/>
      <c r="J274" s="58">
        <f t="shared" si="23"/>
        <v>0</v>
      </c>
      <c r="K274" s="51" t="s">
        <v>57</v>
      </c>
      <c r="L274" s="58"/>
      <c r="M274" s="58"/>
    </row>
    <row r="275" spans="1:26" ht="13.8" thickBot="1" x14ac:dyDescent="0.3">
      <c r="B275" s="51"/>
      <c r="C275" s="51" t="s">
        <v>267</v>
      </c>
      <c r="D275" s="51"/>
      <c r="E275" s="51"/>
      <c r="F275" s="95"/>
      <c r="G275" s="53"/>
      <c r="H275" s="95"/>
      <c r="I275" s="52"/>
      <c r="J275" s="58">
        <f t="shared" si="23"/>
        <v>0</v>
      </c>
      <c r="K275" s="51" t="s">
        <v>57</v>
      </c>
      <c r="L275" s="58"/>
      <c r="M275" s="58"/>
    </row>
    <row r="276" spans="1:26" ht="13.8" thickBot="1" x14ac:dyDescent="0.3">
      <c r="B276" s="51"/>
      <c r="C276" s="51" t="s">
        <v>267</v>
      </c>
      <c r="D276" s="51"/>
      <c r="E276" s="51"/>
      <c r="F276" s="95"/>
      <c r="G276" s="53"/>
      <c r="H276" s="95"/>
      <c r="I276" s="52"/>
      <c r="J276" s="58">
        <f t="shared" si="23"/>
        <v>0</v>
      </c>
      <c r="K276" s="51" t="s">
        <v>57</v>
      </c>
      <c r="L276" s="58"/>
      <c r="M276" s="58"/>
    </row>
    <row r="277" spans="1:26" s="5" customFormat="1" x14ac:dyDescent="0.25">
      <c r="A277" s="478"/>
      <c r="B277" s="195"/>
      <c r="C277" s="195" t="s">
        <v>54</v>
      </c>
      <c r="D277" s="195"/>
      <c r="E277" s="195"/>
      <c r="F277" s="196"/>
      <c r="G277" s="196"/>
      <c r="H277" s="196"/>
      <c r="I277" s="197"/>
      <c r="J277" s="195">
        <f>SUM(J269:J276)</f>
        <v>60.14</v>
      </c>
      <c r="K277" s="195" t="s">
        <v>57</v>
      </c>
      <c r="L277" s="195"/>
      <c r="M277" s="195"/>
      <c r="N277"/>
      <c r="O277"/>
      <c r="P277"/>
      <c r="Q277"/>
      <c r="R277"/>
      <c r="S277"/>
      <c r="T277"/>
      <c r="U277"/>
      <c r="Y277"/>
      <c r="Z277"/>
    </row>
    <row r="278" spans="1:26" x14ac:dyDescent="0.25">
      <c r="B278" s="51"/>
      <c r="C278" s="51"/>
      <c r="D278" s="51"/>
      <c r="E278" s="51"/>
      <c r="F278" s="53"/>
      <c r="G278" s="53"/>
      <c r="H278" s="52"/>
      <c r="I278" s="52"/>
      <c r="J278" s="58"/>
      <c r="K278" s="51"/>
      <c r="L278" s="58"/>
      <c r="M278" s="58"/>
      <c r="N278" s="5"/>
      <c r="O278" s="5"/>
      <c r="P278" s="5"/>
      <c r="Q278" s="5"/>
      <c r="R278" s="5"/>
      <c r="S278" s="5"/>
      <c r="T278" s="5"/>
      <c r="U278" s="5"/>
      <c r="Y278" s="5"/>
      <c r="Z278" s="5"/>
    </row>
    <row r="279" spans="1:26" ht="16.2" customHeight="1" x14ac:dyDescent="0.25">
      <c r="A279" s="483"/>
      <c r="B279" s="116"/>
      <c r="C279" s="116"/>
      <c r="D279" s="116"/>
      <c r="E279" s="116"/>
      <c r="F279" s="116"/>
      <c r="G279" s="116"/>
      <c r="H279" s="116"/>
      <c r="I279" s="116"/>
      <c r="J279" s="116"/>
      <c r="K279" s="116"/>
      <c r="L279" s="116"/>
      <c r="M279" s="116"/>
    </row>
    <row r="280" spans="1:26" ht="15.6" x14ac:dyDescent="0.3">
      <c r="A280" s="483"/>
      <c r="B280" s="535" t="s">
        <v>620</v>
      </c>
      <c r="C280" s="536"/>
      <c r="D280" s="536"/>
      <c r="E280" s="536"/>
      <c r="F280" s="1150" t="s">
        <v>114</v>
      </c>
      <c r="G280" s="1150"/>
      <c r="H280" s="1150" t="s">
        <v>113</v>
      </c>
      <c r="I280" s="1150"/>
      <c r="J280" s="1150" t="s">
        <v>243</v>
      </c>
      <c r="K280" s="1150"/>
      <c r="L280" s="534"/>
      <c r="M280" s="534"/>
    </row>
    <row r="281" spans="1:26" ht="13.8" thickBot="1" x14ac:dyDescent="0.3">
      <c r="A281" s="483"/>
      <c r="B281" s="536"/>
      <c r="C281" s="536"/>
      <c r="D281" s="536"/>
      <c r="E281" s="536"/>
      <c r="F281" s="536"/>
      <c r="G281" s="536"/>
      <c r="H281" s="537"/>
      <c r="I281" s="537"/>
      <c r="J281" s="534"/>
      <c r="K281" s="534"/>
      <c r="L281" s="534"/>
      <c r="M281" s="534"/>
    </row>
    <row r="282" spans="1:26" ht="13.8" thickBot="1" x14ac:dyDescent="0.3">
      <c r="A282" s="483"/>
      <c r="B282" s="536"/>
      <c r="C282" s="536" t="s">
        <v>621</v>
      </c>
      <c r="D282" s="534"/>
      <c r="E282" s="536"/>
      <c r="F282" s="538">
        <v>5</v>
      </c>
      <c r="G282" s="536" t="s">
        <v>622</v>
      </c>
      <c r="H282" s="539">
        <v>160</v>
      </c>
      <c r="I282" s="537" t="s">
        <v>623</v>
      </c>
      <c r="J282" s="540">
        <v>800</v>
      </c>
      <c r="K282" s="536" t="s">
        <v>57</v>
      </c>
      <c r="L282" s="534"/>
      <c r="M282" s="534"/>
    </row>
    <row r="283" spans="1:26" ht="13.8" thickBot="1" x14ac:dyDescent="0.3">
      <c r="A283" s="483"/>
      <c r="B283" s="536"/>
      <c r="C283" s="536" t="s">
        <v>274</v>
      </c>
      <c r="D283" s="536"/>
      <c r="E283" s="536"/>
      <c r="F283" s="541"/>
      <c r="G283" s="536" t="s">
        <v>7</v>
      </c>
      <c r="H283" s="542"/>
      <c r="I283" s="537" t="s">
        <v>57</v>
      </c>
      <c r="J283" s="540">
        <v>0</v>
      </c>
      <c r="K283" s="536" t="s">
        <v>57</v>
      </c>
      <c r="L283" s="534"/>
      <c r="M283" s="534"/>
    </row>
    <row r="284" spans="1:26" ht="13.8" thickBot="1" x14ac:dyDescent="0.3">
      <c r="A284" s="483"/>
      <c r="B284" s="536"/>
      <c r="C284" s="536" t="s">
        <v>274</v>
      </c>
      <c r="D284" s="536"/>
      <c r="E284" s="536"/>
      <c r="F284" s="541"/>
      <c r="G284" s="536" t="s">
        <v>7</v>
      </c>
      <c r="H284" s="542"/>
      <c r="I284" s="537" t="s">
        <v>57</v>
      </c>
      <c r="J284" s="540">
        <v>0</v>
      </c>
      <c r="K284" s="536" t="s">
        <v>57</v>
      </c>
      <c r="L284" s="534"/>
      <c r="M284" s="534"/>
    </row>
    <row r="285" spans="1:26" x14ac:dyDescent="0.25">
      <c r="A285" s="483"/>
      <c r="B285" s="543"/>
      <c r="C285" s="543" t="s">
        <v>54</v>
      </c>
      <c r="D285" s="543"/>
      <c r="E285" s="543"/>
      <c r="F285" s="543"/>
      <c r="G285" s="543"/>
      <c r="H285" s="544"/>
      <c r="I285" s="544"/>
      <c r="J285" s="545">
        <v>800</v>
      </c>
      <c r="K285" s="543" t="s">
        <v>57</v>
      </c>
      <c r="L285" s="543"/>
      <c r="M285" s="543"/>
    </row>
    <row r="286" spans="1:26" x14ac:dyDescent="0.25">
      <c r="A286" s="483"/>
      <c r="B286" s="536"/>
      <c r="C286" s="536"/>
      <c r="D286" s="536"/>
      <c r="E286" s="536"/>
      <c r="F286" s="536"/>
      <c r="G286" s="536"/>
      <c r="H286" s="537"/>
      <c r="I286" s="537"/>
      <c r="J286" s="540"/>
      <c r="K286" s="536"/>
      <c r="L286" s="534"/>
      <c r="M286" s="534"/>
    </row>
    <row r="287" spans="1:26" ht="15" customHeight="1" x14ac:dyDescent="0.25">
      <c r="A287" s="483"/>
      <c r="B287" s="116"/>
      <c r="C287" s="116"/>
      <c r="D287" s="116"/>
      <c r="E287" s="116"/>
      <c r="F287" s="116"/>
      <c r="G287" s="116"/>
      <c r="H287" s="116"/>
      <c r="I287" s="116"/>
      <c r="J287" s="116"/>
      <c r="K287" s="116"/>
      <c r="L287" s="116"/>
      <c r="M287" s="116"/>
    </row>
    <row r="288" spans="1:26" ht="40.950000000000003" customHeight="1" x14ac:dyDescent="0.3">
      <c r="A288" s="483"/>
      <c r="B288" s="86" t="s">
        <v>709</v>
      </c>
      <c r="C288" s="61"/>
      <c r="D288" s="61"/>
      <c r="E288" s="61"/>
      <c r="F288" s="1071" t="s">
        <v>114</v>
      </c>
      <c r="G288" s="1071"/>
      <c r="H288" s="1071" t="s">
        <v>113</v>
      </c>
      <c r="I288" s="1071"/>
      <c r="J288" s="1071" t="s">
        <v>243</v>
      </c>
      <c r="K288" s="1071"/>
      <c r="L288" s="63"/>
      <c r="M288" s="63"/>
    </row>
    <row r="289" spans="1:26" ht="13.8" thickBot="1" x14ac:dyDescent="0.3">
      <c r="A289" s="483"/>
      <c r="B289" s="61"/>
      <c r="C289" s="61"/>
      <c r="D289" s="61"/>
      <c r="E289" s="61"/>
      <c r="F289" s="61"/>
      <c r="G289" s="61"/>
      <c r="H289" s="62"/>
      <c r="I289" s="62"/>
      <c r="J289" s="63"/>
      <c r="K289" s="63"/>
      <c r="L289" s="63"/>
      <c r="M289" s="63"/>
    </row>
    <row r="290" spans="1:26" ht="13.8" thickBot="1" x14ac:dyDescent="0.3">
      <c r="A290" s="483"/>
      <c r="B290" s="61"/>
      <c r="C290" s="61" t="s">
        <v>751</v>
      </c>
      <c r="D290" s="61"/>
      <c r="E290" s="61"/>
      <c r="F290" s="388">
        <f>IF(S10&gt;0,S10*'Gårdens info'!G32/1,0)</f>
        <v>5800</v>
      </c>
      <c r="G290" s="61" t="s">
        <v>116</v>
      </c>
      <c r="H290" s="77"/>
      <c r="I290" s="62" t="s">
        <v>74</v>
      </c>
      <c r="J290" s="64">
        <f>F290*H290</f>
        <v>0</v>
      </c>
      <c r="K290" s="61" t="s">
        <v>57</v>
      </c>
      <c r="L290" s="63"/>
      <c r="M290" s="63"/>
    </row>
    <row r="291" spans="1:26" ht="13.8" thickBot="1" x14ac:dyDescent="0.3">
      <c r="A291" s="483"/>
      <c r="B291" s="61"/>
      <c r="C291" s="61" t="s">
        <v>626</v>
      </c>
      <c r="D291" s="63"/>
      <c r="E291" s="61"/>
      <c r="F291" s="388">
        <f>IF(S11&gt;0,S11*'Gårdens info'!G32/5,0)</f>
        <v>0</v>
      </c>
      <c r="G291" s="61" t="s">
        <v>116</v>
      </c>
      <c r="H291" s="77">
        <v>0.1</v>
      </c>
      <c r="I291" s="62" t="s">
        <v>74</v>
      </c>
      <c r="J291" s="64">
        <f>F291*H291</f>
        <v>0</v>
      </c>
      <c r="K291" s="61" t="s">
        <v>57</v>
      </c>
      <c r="L291" s="63"/>
      <c r="M291" s="63"/>
    </row>
    <row r="292" spans="1:26" ht="13.8" thickBot="1" x14ac:dyDescent="0.3">
      <c r="A292" s="483"/>
      <c r="B292" s="61"/>
      <c r="C292" s="61" t="s">
        <v>627</v>
      </c>
      <c r="D292" s="63"/>
      <c r="E292" s="61"/>
      <c r="F292" s="388">
        <f>IF(S12&gt;0,S12*'Gårdens info'!G32/3,0)</f>
        <v>0</v>
      </c>
      <c r="G292" s="61" t="s">
        <v>116</v>
      </c>
      <c r="H292" s="77">
        <v>0.1</v>
      </c>
      <c r="I292" s="62" t="s">
        <v>74</v>
      </c>
      <c r="J292" s="64">
        <f t="shared" ref="J292:J297" si="24">F292*H292</f>
        <v>0</v>
      </c>
      <c r="K292" s="61" t="s">
        <v>57</v>
      </c>
      <c r="L292" s="63"/>
      <c r="M292" s="63"/>
    </row>
    <row r="293" spans="1:26" ht="13.8" thickBot="1" x14ac:dyDescent="0.3">
      <c r="A293" s="483"/>
      <c r="B293" s="61"/>
      <c r="C293" s="61" t="s">
        <v>628</v>
      </c>
      <c r="D293" s="63"/>
      <c r="E293" s="61"/>
      <c r="F293" s="388">
        <f>IF(S13&gt;0,S13*'Gårdens info'!G32/0.5,0)</f>
        <v>0</v>
      </c>
      <c r="G293" s="61" t="s">
        <v>116</v>
      </c>
      <c r="H293" s="77">
        <v>4.9000000000000002E-2</v>
      </c>
      <c r="I293" s="62" t="s">
        <v>74</v>
      </c>
      <c r="J293" s="64">
        <f t="shared" si="24"/>
        <v>0</v>
      </c>
      <c r="K293" s="61" t="s">
        <v>57</v>
      </c>
      <c r="L293" s="63"/>
      <c r="M293" s="63"/>
    </row>
    <row r="294" spans="1:26" ht="13.8" thickBot="1" x14ac:dyDescent="0.3">
      <c r="A294" s="483"/>
      <c r="B294" s="61"/>
      <c r="C294" s="61" t="s">
        <v>629</v>
      </c>
      <c r="D294" s="63"/>
      <c r="E294" s="61"/>
      <c r="F294" s="388">
        <f>IF(S14&gt;0,S14*'Gårdens info'!G32/0.25,0)</f>
        <v>0</v>
      </c>
      <c r="G294" s="61" t="s">
        <v>116</v>
      </c>
      <c r="H294" s="77">
        <v>0.04</v>
      </c>
      <c r="I294" s="62" t="s">
        <v>74</v>
      </c>
      <c r="J294" s="64">
        <f t="shared" si="24"/>
        <v>0</v>
      </c>
      <c r="K294" s="61" t="s">
        <v>57</v>
      </c>
      <c r="L294" s="63"/>
      <c r="M294" s="63"/>
    </row>
    <row r="295" spans="1:26" ht="13.8" thickBot="1" x14ac:dyDescent="0.3">
      <c r="A295" s="483"/>
      <c r="B295" s="61"/>
      <c r="C295" s="74" t="s">
        <v>216</v>
      </c>
      <c r="D295" s="74"/>
      <c r="E295" s="61" t="s">
        <v>212</v>
      </c>
      <c r="F295" s="388">
        <f>IF(S15&gt;0,S15*'Gårdens info'!G32/D295,0)</f>
        <v>0</v>
      </c>
      <c r="G295" s="61" t="s">
        <v>116</v>
      </c>
      <c r="H295" s="77"/>
      <c r="I295" s="62" t="s">
        <v>74</v>
      </c>
      <c r="J295" s="64">
        <f t="shared" si="24"/>
        <v>0</v>
      </c>
      <c r="K295" s="61" t="s">
        <v>57</v>
      </c>
      <c r="L295" s="63"/>
      <c r="M295" s="63"/>
    </row>
    <row r="296" spans="1:26" ht="13.8" thickBot="1" x14ac:dyDescent="0.3">
      <c r="A296" s="483"/>
      <c r="B296" s="61"/>
      <c r="C296" s="74" t="s">
        <v>216</v>
      </c>
      <c r="D296" s="74"/>
      <c r="E296" s="61" t="s">
        <v>212</v>
      </c>
      <c r="F296" s="388">
        <f>IF(S16&gt;0,S16*'Gårdens info'!G32/D296,0)</f>
        <v>0</v>
      </c>
      <c r="G296" s="61" t="s">
        <v>116</v>
      </c>
      <c r="H296" s="77"/>
      <c r="I296" s="62" t="s">
        <v>74</v>
      </c>
      <c r="J296" s="64">
        <f t="shared" ref="J296" si="25">F296*H296</f>
        <v>0</v>
      </c>
      <c r="K296" s="61" t="s">
        <v>57</v>
      </c>
      <c r="L296" s="63"/>
      <c r="M296" s="63"/>
    </row>
    <row r="297" spans="1:26" ht="13.8" thickBot="1" x14ac:dyDescent="0.3">
      <c r="B297" s="61"/>
      <c r="C297" s="74" t="s">
        <v>216</v>
      </c>
      <c r="D297" s="74"/>
      <c r="E297" s="61" t="s">
        <v>212</v>
      </c>
      <c r="F297" s="388">
        <f>IF(S17&gt;0,S17*'Gårdens info'!G32/D297,0)</f>
        <v>0</v>
      </c>
      <c r="G297" s="61" t="s">
        <v>116</v>
      </c>
      <c r="H297" s="77"/>
      <c r="I297" s="62" t="s">
        <v>74</v>
      </c>
      <c r="J297" s="64">
        <f t="shared" si="24"/>
        <v>0</v>
      </c>
      <c r="K297" s="61" t="s">
        <v>57</v>
      </c>
      <c r="L297" s="63"/>
      <c r="M297" s="63"/>
    </row>
    <row r="298" spans="1:26" x14ac:dyDescent="0.25">
      <c r="B298" s="198"/>
      <c r="C298" s="198" t="s">
        <v>54</v>
      </c>
      <c r="D298" s="198"/>
      <c r="E298" s="198"/>
      <c r="F298" s="198"/>
      <c r="G298" s="198"/>
      <c r="H298" s="199"/>
      <c r="I298" s="199"/>
      <c r="J298" s="200">
        <f>SUM(J291:J297)</f>
        <v>0</v>
      </c>
      <c r="K298" s="198" t="s">
        <v>57</v>
      </c>
      <c r="L298" s="198"/>
      <c r="M298" s="198"/>
    </row>
    <row r="299" spans="1:26" s="5" customFormat="1" x14ac:dyDescent="0.25">
      <c r="A299" s="478"/>
      <c r="B299" s="61"/>
      <c r="C299" s="61"/>
      <c r="D299" s="61"/>
      <c r="E299" s="61"/>
      <c r="F299" s="61"/>
      <c r="G299" s="61"/>
      <c r="H299" s="62"/>
      <c r="I299" s="62"/>
      <c r="J299" s="64"/>
      <c r="K299" s="61"/>
      <c r="L299" s="63"/>
      <c r="M299" s="63"/>
      <c r="N299"/>
      <c r="O299"/>
      <c r="P299"/>
      <c r="Q299"/>
      <c r="R299"/>
      <c r="S299"/>
      <c r="T299"/>
      <c r="U299"/>
      <c r="Y299"/>
      <c r="Z299"/>
    </row>
    <row r="300" spans="1:26" x14ac:dyDescent="0.25">
      <c r="B300" s="116"/>
      <c r="C300" s="116"/>
      <c r="D300" s="116"/>
      <c r="E300" s="116"/>
      <c r="F300" s="116"/>
      <c r="G300" s="116"/>
      <c r="H300" s="116"/>
      <c r="I300" s="116"/>
      <c r="J300" s="116"/>
      <c r="K300" s="116"/>
      <c r="L300" s="116"/>
      <c r="M300" s="116"/>
      <c r="N300" s="5"/>
      <c r="O300" s="5"/>
      <c r="P300" s="5"/>
      <c r="Q300" s="5"/>
      <c r="R300" s="5"/>
      <c r="S300" s="5"/>
      <c r="T300" s="5"/>
      <c r="U300" s="5"/>
      <c r="Y300" s="5"/>
      <c r="Z300" s="5"/>
    </row>
    <row r="301" spans="1:26" ht="30" customHeight="1" x14ac:dyDescent="0.3">
      <c r="B301" s="87" t="s">
        <v>752</v>
      </c>
      <c r="C301" s="65"/>
      <c r="D301" s="65"/>
      <c r="E301" s="65"/>
      <c r="F301" s="1072" t="s">
        <v>114</v>
      </c>
      <c r="G301" s="1072"/>
      <c r="H301" s="1072" t="s">
        <v>113</v>
      </c>
      <c r="I301" s="1072"/>
      <c r="J301" s="1072" t="s">
        <v>243</v>
      </c>
      <c r="K301" s="1072"/>
      <c r="L301" s="67"/>
      <c r="M301" s="67"/>
    </row>
    <row r="302" spans="1:26" ht="13.8" thickBot="1" x14ac:dyDescent="0.3">
      <c r="B302" s="65"/>
      <c r="C302" s="65"/>
      <c r="D302" s="65"/>
      <c r="E302" s="65"/>
      <c r="F302" s="65"/>
      <c r="G302" s="65"/>
      <c r="H302" s="66"/>
      <c r="I302" s="66"/>
      <c r="J302" s="67"/>
      <c r="K302" s="67"/>
      <c r="L302" s="67"/>
      <c r="M302" s="67"/>
    </row>
    <row r="303" spans="1:26" ht="13.8" thickBot="1" x14ac:dyDescent="0.3">
      <c r="B303" s="65"/>
      <c r="C303" s="65" t="s">
        <v>753</v>
      </c>
      <c r="D303" s="67"/>
      <c r="E303" s="65"/>
      <c r="F303" s="74">
        <f>'Gårdens info'!G32*'Gårdens info'!D32</f>
        <v>0</v>
      </c>
      <c r="G303" s="65" t="s">
        <v>212</v>
      </c>
      <c r="H303" s="77">
        <v>0.5</v>
      </c>
      <c r="I303" s="66" t="s">
        <v>206</v>
      </c>
      <c r="J303" s="68">
        <f t="shared" ref="J303:J305" si="26">F303*H303</f>
        <v>0</v>
      </c>
      <c r="K303" s="65" t="s">
        <v>57</v>
      </c>
      <c r="L303" s="67"/>
      <c r="M303" s="67"/>
    </row>
    <row r="304" spans="1:26" ht="13.8" thickBot="1" x14ac:dyDescent="0.3">
      <c r="B304" s="65"/>
      <c r="C304" s="65" t="s">
        <v>274</v>
      </c>
      <c r="D304" s="65"/>
      <c r="E304" s="65"/>
      <c r="F304" s="74"/>
      <c r="G304" s="65" t="s">
        <v>212</v>
      </c>
      <c r="H304" s="77"/>
      <c r="I304" s="66" t="s">
        <v>206</v>
      </c>
      <c r="J304" s="68">
        <f t="shared" si="26"/>
        <v>0</v>
      </c>
      <c r="K304" s="65" t="s">
        <v>57</v>
      </c>
      <c r="L304" s="67"/>
      <c r="M304" s="67"/>
    </row>
    <row r="305" spans="1:26" ht="13.8" thickBot="1" x14ac:dyDescent="0.3">
      <c r="B305" s="65"/>
      <c r="C305" s="65" t="s">
        <v>274</v>
      </c>
      <c r="D305" s="65"/>
      <c r="E305" s="65"/>
      <c r="F305" s="74"/>
      <c r="G305" s="65" t="s">
        <v>212</v>
      </c>
      <c r="H305" s="77"/>
      <c r="I305" s="66" t="s">
        <v>206</v>
      </c>
      <c r="J305" s="68">
        <f t="shared" si="26"/>
        <v>0</v>
      </c>
      <c r="K305" s="65" t="s">
        <v>57</v>
      </c>
      <c r="L305" s="67"/>
      <c r="M305" s="67"/>
    </row>
    <row r="306" spans="1:26" x14ac:dyDescent="0.25">
      <c r="B306" s="201"/>
      <c r="C306" s="201" t="s">
        <v>54</v>
      </c>
      <c r="D306" s="201"/>
      <c r="E306" s="201"/>
      <c r="F306" s="201"/>
      <c r="G306" s="201"/>
      <c r="H306" s="202"/>
      <c r="I306" s="202"/>
      <c r="J306" s="203">
        <f>SUM(J303:J305)</f>
        <v>0</v>
      </c>
      <c r="K306" s="201" t="s">
        <v>57</v>
      </c>
      <c r="L306" s="201"/>
      <c r="M306" s="201"/>
    </row>
    <row r="307" spans="1:26" s="5" customFormat="1" x14ac:dyDescent="0.25">
      <c r="A307" s="478"/>
      <c r="B307" s="65"/>
      <c r="C307" s="65"/>
      <c r="D307" s="65"/>
      <c r="E307" s="65"/>
      <c r="F307" s="65"/>
      <c r="G307" s="65"/>
      <c r="H307" s="66"/>
      <c r="I307" s="66"/>
      <c r="J307" s="68"/>
      <c r="K307" s="65"/>
      <c r="L307" s="67"/>
      <c r="M307" s="67"/>
      <c r="N307"/>
      <c r="O307"/>
      <c r="P307"/>
      <c r="Q307"/>
      <c r="R307"/>
      <c r="S307"/>
      <c r="T307"/>
      <c r="U307"/>
      <c r="Y307"/>
      <c r="Z307"/>
    </row>
    <row r="308" spans="1:26" x14ac:dyDescent="0.25">
      <c r="B308" s="116"/>
      <c r="C308" s="116"/>
      <c r="D308" s="116"/>
      <c r="E308" s="116"/>
      <c r="F308" s="116"/>
      <c r="G308" s="116"/>
      <c r="H308" s="116"/>
      <c r="I308" s="116"/>
      <c r="J308" s="116"/>
      <c r="K308" s="116"/>
      <c r="L308" s="116"/>
      <c r="M308" s="116"/>
      <c r="N308" s="5"/>
      <c r="O308" s="5"/>
      <c r="P308" s="5"/>
      <c r="Q308" s="5"/>
      <c r="R308" s="5"/>
      <c r="S308" s="5"/>
      <c r="T308" s="5"/>
      <c r="U308" s="5"/>
      <c r="Y308" s="5"/>
      <c r="Z308" s="5"/>
    </row>
    <row r="309" spans="1:26" ht="37.200000000000003" customHeight="1" x14ac:dyDescent="0.3">
      <c r="B309" s="176" t="s">
        <v>712</v>
      </c>
      <c r="C309" s="177"/>
      <c r="D309" s="177"/>
      <c r="E309" s="177"/>
      <c r="F309" s="1067" t="s">
        <v>114</v>
      </c>
      <c r="G309" s="1067"/>
      <c r="H309" s="1067" t="s">
        <v>113</v>
      </c>
      <c r="I309" s="1067"/>
      <c r="J309" s="1067" t="s">
        <v>243</v>
      </c>
      <c r="K309" s="1067"/>
      <c r="L309" s="179"/>
      <c r="M309" s="179"/>
    </row>
    <row r="310" spans="1:26" ht="13.8" thickBot="1" x14ac:dyDescent="0.3">
      <c r="B310" s="177"/>
      <c r="C310" s="177"/>
      <c r="D310" s="177"/>
      <c r="E310" s="177"/>
      <c r="F310" s="177"/>
      <c r="G310" s="177"/>
      <c r="H310" s="178"/>
      <c r="I310" s="178"/>
      <c r="J310" s="179"/>
      <c r="K310" s="179"/>
      <c r="L310" s="179"/>
      <c r="M310" s="179"/>
    </row>
    <row r="311" spans="1:26" ht="13.8" thickBot="1" x14ac:dyDescent="0.3">
      <c r="B311" s="177"/>
      <c r="C311" s="177" t="s">
        <v>276</v>
      </c>
      <c r="D311" s="179"/>
      <c r="E311" s="177"/>
      <c r="F311" s="74">
        <f>'Gårdens info'!D32</f>
        <v>0</v>
      </c>
      <c r="G311" s="177" t="s">
        <v>7</v>
      </c>
      <c r="H311" s="77">
        <v>450</v>
      </c>
      <c r="I311" s="178" t="s">
        <v>57</v>
      </c>
      <c r="J311" s="180">
        <f t="shared" ref="J311:J313" si="27">F311*H311</f>
        <v>0</v>
      </c>
      <c r="K311" s="177" t="s">
        <v>57</v>
      </c>
      <c r="L311" s="179"/>
      <c r="M311" s="179"/>
    </row>
    <row r="312" spans="1:26" ht="13.8" thickBot="1" x14ac:dyDescent="0.3">
      <c r="B312" s="177"/>
      <c r="C312" s="177" t="s">
        <v>276</v>
      </c>
      <c r="D312" s="177"/>
      <c r="E312" s="177"/>
      <c r="F312" s="74"/>
      <c r="G312" s="177" t="s">
        <v>7</v>
      </c>
      <c r="H312" s="77"/>
      <c r="I312" s="178" t="s">
        <v>57</v>
      </c>
      <c r="J312" s="180">
        <f t="shared" si="27"/>
        <v>0</v>
      </c>
      <c r="K312" s="177" t="s">
        <v>57</v>
      </c>
      <c r="L312" s="179"/>
      <c r="M312" s="179"/>
    </row>
    <row r="313" spans="1:26" ht="13.8" thickBot="1" x14ac:dyDescent="0.3">
      <c r="B313" s="177"/>
      <c r="C313" s="177" t="s">
        <v>276</v>
      </c>
      <c r="D313" s="177"/>
      <c r="E313" s="177"/>
      <c r="F313" s="74"/>
      <c r="G313" s="177" t="s">
        <v>7</v>
      </c>
      <c r="H313" s="77"/>
      <c r="I313" s="178" t="s">
        <v>57</v>
      </c>
      <c r="J313" s="180">
        <f t="shared" si="27"/>
        <v>0</v>
      </c>
      <c r="K313" s="177" t="s">
        <v>57</v>
      </c>
      <c r="L313" s="179"/>
      <c r="M313" s="179"/>
    </row>
    <row r="314" spans="1:26" x14ac:dyDescent="0.25">
      <c r="B314" s="204"/>
      <c r="C314" s="204" t="s">
        <v>54</v>
      </c>
      <c r="D314" s="204"/>
      <c r="E314" s="204"/>
      <c r="F314" s="204"/>
      <c r="G314" s="204"/>
      <c r="H314" s="205"/>
      <c r="I314" s="205"/>
      <c r="J314" s="206">
        <f>SUM(J311:J313)</f>
        <v>0</v>
      </c>
      <c r="K314" s="204" t="s">
        <v>57</v>
      </c>
      <c r="L314" s="204"/>
      <c r="M314" s="204"/>
    </row>
    <row r="315" spans="1:26" s="5" customFormat="1" x14ac:dyDescent="0.25">
      <c r="A315" s="478"/>
      <c r="B315" s="177"/>
      <c r="C315" s="177"/>
      <c r="D315" s="177"/>
      <c r="E315" s="177"/>
      <c r="F315" s="177"/>
      <c r="G315" s="177"/>
      <c r="H315" s="178"/>
      <c r="I315" s="178"/>
      <c r="J315" s="180"/>
      <c r="K315" s="177"/>
      <c r="L315" s="179"/>
      <c r="M315" s="179"/>
      <c r="N315"/>
      <c r="O315"/>
      <c r="P315"/>
      <c r="Q315"/>
      <c r="R315"/>
      <c r="S315"/>
      <c r="T315"/>
      <c r="U315"/>
      <c r="Y315"/>
      <c r="Z315"/>
    </row>
    <row r="316" spans="1:26" x14ac:dyDescent="0.25">
      <c r="B316" s="116"/>
      <c r="C316" s="116"/>
      <c r="D316" s="116"/>
      <c r="E316" s="116"/>
      <c r="F316" s="116"/>
      <c r="G316" s="116"/>
      <c r="H316" s="116"/>
      <c r="I316" s="116"/>
      <c r="J316" s="116"/>
      <c r="K316" s="116"/>
      <c r="L316" s="116"/>
      <c r="M316" s="116"/>
      <c r="N316" s="5"/>
      <c r="O316" s="5"/>
      <c r="P316" s="5"/>
      <c r="Q316" s="5"/>
      <c r="R316" s="5"/>
      <c r="S316" s="5"/>
      <c r="T316" s="5"/>
      <c r="U316" s="5"/>
      <c r="Y316" s="5"/>
      <c r="Z316" s="5"/>
    </row>
    <row r="317" spans="1:26" ht="33" customHeight="1" x14ac:dyDescent="0.3">
      <c r="B317" s="181" t="s">
        <v>713</v>
      </c>
      <c r="C317" s="182"/>
      <c r="D317" s="182"/>
      <c r="E317" s="183"/>
      <c r="F317" s="182" t="s">
        <v>114</v>
      </c>
      <c r="G317" s="184"/>
      <c r="H317" s="184" t="s">
        <v>113</v>
      </c>
      <c r="I317" s="182"/>
      <c r="J317" s="182"/>
      <c r="K317" s="185"/>
      <c r="L317" s="185"/>
      <c r="M317" s="185"/>
    </row>
    <row r="318" spans="1:26" ht="16.2" thickBot="1" x14ac:dyDescent="0.35">
      <c r="B318" s="181"/>
      <c r="C318" s="182"/>
      <c r="D318" s="182"/>
      <c r="E318" s="183"/>
      <c r="F318" s="182"/>
      <c r="G318" s="184"/>
      <c r="H318" s="184"/>
      <c r="I318" s="182"/>
      <c r="J318" s="182"/>
      <c r="K318" s="185"/>
      <c r="L318" s="185"/>
      <c r="M318" s="185"/>
    </row>
    <row r="319" spans="1:26" ht="13.8" thickBot="1" x14ac:dyDescent="0.3">
      <c r="B319" s="182"/>
      <c r="C319" s="182" t="s">
        <v>278</v>
      </c>
      <c r="D319" s="185"/>
      <c r="E319" s="186"/>
      <c r="F319" s="74">
        <v>500</v>
      </c>
      <c r="G319" s="187" t="s">
        <v>279</v>
      </c>
      <c r="H319" s="74">
        <v>0.15</v>
      </c>
      <c r="I319" s="188" t="s">
        <v>280</v>
      </c>
      <c r="J319" s="185">
        <f>H319*F319</f>
        <v>75</v>
      </c>
      <c r="K319" s="188" t="s">
        <v>57</v>
      </c>
      <c r="L319" s="185"/>
      <c r="M319" s="185"/>
    </row>
    <row r="320" spans="1:26" ht="13.8" thickBot="1" x14ac:dyDescent="0.3">
      <c r="B320" s="182"/>
      <c r="C320" s="182" t="s">
        <v>685</v>
      </c>
      <c r="D320" s="188">
        <f>F347/2</f>
        <v>36.5</v>
      </c>
      <c r="E320" s="182" t="s">
        <v>282</v>
      </c>
      <c r="F320" s="74">
        <f>+D320*8</f>
        <v>292</v>
      </c>
      <c r="G320" s="184" t="s">
        <v>256</v>
      </c>
      <c r="H320" s="74">
        <v>0.83</v>
      </c>
      <c r="I320" s="188" t="s">
        <v>257</v>
      </c>
      <c r="J320" s="185">
        <f>H320*F320</f>
        <v>242.35999999999999</v>
      </c>
      <c r="K320" s="188" t="s">
        <v>57</v>
      </c>
      <c r="L320" s="185"/>
      <c r="M320" s="185"/>
    </row>
    <row r="321" spans="1:26" ht="13.8" thickBot="1" x14ac:dyDescent="0.3">
      <c r="B321" s="182"/>
      <c r="C321" s="182" t="s">
        <v>686</v>
      </c>
      <c r="D321" s="188">
        <f>D320</f>
        <v>36.5</v>
      </c>
      <c r="E321" s="182" t="s">
        <v>282</v>
      </c>
      <c r="F321" s="74">
        <v>11.88</v>
      </c>
      <c r="G321" s="184" t="s">
        <v>212</v>
      </c>
      <c r="H321" s="74">
        <v>4</v>
      </c>
      <c r="I321" s="188" t="s">
        <v>206</v>
      </c>
      <c r="J321" s="185">
        <f t="shared" ref="J321:J325" si="28">H321*F321</f>
        <v>47.52</v>
      </c>
      <c r="K321" s="188" t="s">
        <v>57</v>
      </c>
      <c r="L321" s="185"/>
      <c r="M321" s="185"/>
    </row>
    <row r="322" spans="1:26" ht="13.8" thickBot="1" x14ac:dyDescent="0.3">
      <c r="B322" s="182"/>
      <c r="C322" s="182" t="s">
        <v>284</v>
      </c>
      <c r="D322" s="185"/>
      <c r="E322" s="188"/>
      <c r="F322" s="74">
        <v>200</v>
      </c>
      <c r="G322" s="184" t="s">
        <v>256</v>
      </c>
      <c r="H322" s="74">
        <v>1.53</v>
      </c>
      <c r="I322" s="188" t="s">
        <v>257</v>
      </c>
      <c r="J322" s="185">
        <f t="shared" si="28"/>
        <v>306</v>
      </c>
      <c r="K322" s="188" t="s">
        <v>57</v>
      </c>
      <c r="L322" s="185"/>
      <c r="M322" s="185"/>
    </row>
    <row r="323" spans="1:26" ht="13.8" thickBot="1" x14ac:dyDescent="0.3">
      <c r="B323" s="182"/>
      <c r="C323" s="182" t="s">
        <v>285</v>
      </c>
      <c r="D323" s="185"/>
      <c r="E323" s="188"/>
      <c r="F323" s="74">
        <v>1.48</v>
      </c>
      <c r="G323" s="184" t="s">
        <v>256</v>
      </c>
      <c r="H323" s="74">
        <v>1.6</v>
      </c>
      <c r="I323" s="188" t="s">
        <v>257</v>
      </c>
      <c r="J323" s="185">
        <f t="shared" si="28"/>
        <v>2.3679999999999999</v>
      </c>
      <c r="K323" s="188" t="s">
        <v>57</v>
      </c>
      <c r="L323" s="185"/>
      <c r="M323" s="185"/>
    </row>
    <row r="324" spans="1:26" ht="13.8" thickBot="1" x14ac:dyDescent="0.3">
      <c r="B324" s="182"/>
      <c r="C324" s="182" t="s">
        <v>286</v>
      </c>
      <c r="D324" s="185"/>
      <c r="E324" s="188"/>
      <c r="F324" s="74"/>
      <c r="G324" s="184"/>
      <c r="H324" s="74"/>
      <c r="I324" s="188"/>
      <c r="J324" s="185">
        <f t="shared" si="28"/>
        <v>0</v>
      </c>
      <c r="K324" s="188" t="s">
        <v>57</v>
      </c>
      <c r="L324" s="185"/>
      <c r="M324" s="185"/>
    </row>
    <row r="325" spans="1:26" ht="13.8" thickBot="1" x14ac:dyDescent="0.3">
      <c r="B325" s="185"/>
      <c r="C325" s="182" t="s">
        <v>286</v>
      </c>
      <c r="D325" s="185"/>
      <c r="E325" s="185"/>
      <c r="F325" s="74"/>
      <c r="G325" s="185"/>
      <c r="H325" s="74"/>
      <c r="I325" s="185"/>
      <c r="J325" s="185">
        <f t="shared" si="28"/>
        <v>0</v>
      </c>
      <c r="K325" s="188" t="s">
        <v>57</v>
      </c>
      <c r="L325" s="185"/>
      <c r="M325" s="185"/>
    </row>
    <row r="326" spans="1:26" x14ac:dyDescent="0.25">
      <c r="B326" s="207"/>
      <c r="C326" s="207" t="s">
        <v>54</v>
      </c>
      <c r="D326" s="207"/>
      <c r="E326" s="207"/>
      <c r="F326" s="207"/>
      <c r="G326" s="207"/>
      <c r="H326" s="207"/>
      <c r="I326" s="207"/>
      <c r="J326" s="207">
        <f>SUM(J319:J325)</f>
        <v>673.24800000000005</v>
      </c>
      <c r="K326" s="208" t="s">
        <v>57</v>
      </c>
      <c r="L326" s="207"/>
      <c r="M326" s="207"/>
    </row>
    <row r="327" spans="1:26" s="5" customFormat="1" x14ac:dyDescent="0.25">
      <c r="A327" s="478"/>
      <c r="B327" s="185"/>
      <c r="C327" s="185"/>
      <c r="D327" s="185"/>
      <c r="E327" s="185"/>
      <c r="F327" s="185"/>
      <c r="G327" s="185"/>
      <c r="H327" s="185"/>
      <c r="I327" s="185"/>
      <c r="J327" s="185"/>
      <c r="K327" s="185"/>
      <c r="L327" s="185"/>
      <c r="M327" s="185"/>
      <c r="N327"/>
      <c r="O327"/>
      <c r="P327"/>
      <c r="Q327"/>
      <c r="R327"/>
      <c r="S327"/>
      <c r="T327"/>
      <c r="U327"/>
      <c r="Y327"/>
      <c r="Z327"/>
    </row>
    <row r="328" spans="1:26" x14ac:dyDescent="0.25">
      <c r="B328" s="116"/>
      <c r="C328" s="116"/>
      <c r="D328" s="116"/>
      <c r="E328" s="116"/>
      <c r="F328" s="116"/>
      <c r="G328" s="116"/>
      <c r="H328" s="116"/>
      <c r="I328" s="116"/>
      <c r="J328" s="116"/>
      <c r="K328" s="116"/>
      <c r="L328" s="116"/>
      <c r="M328" s="116"/>
      <c r="N328" s="5"/>
      <c r="O328" s="5"/>
      <c r="P328" s="5"/>
      <c r="Q328" s="5"/>
      <c r="R328" s="5"/>
      <c r="S328" s="5"/>
      <c r="T328" s="5"/>
      <c r="U328" s="5"/>
      <c r="Y328" s="5"/>
      <c r="Z328" s="5"/>
    </row>
    <row r="329" spans="1:26" ht="31.95" customHeight="1" x14ac:dyDescent="0.3">
      <c r="B329" s="88" t="s">
        <v>714</v>
      </c>
      <c r="C329" s="79"/>
      <c r="D329" s="79"/>
      <c r="E329" s="79"/>
      <c r="F329" s="79"/>
      <c r="G329" s="79"/>
      <c r="H329" s="79"/>
      <c r="I329" s="79"/>
      <c r="J329" s="79"/>
      <c r="K329" s="79"/>
      <c r="L329" s="79"/>
      <c r="M329" s="79"/>
    </row>
    <row r="330" spans="1:26" ht="15.6" x14ac:dyDescent="0.3">
      <c r="B330" s="88"/>
      <c r="C330" s="79"/>
      <c r="D330" s="79"/>
      <c r="E330" s="79"/>
      <c r="F330" s="79"/>
      <c r="G330" s="79"/>
      <c r="H330" s="79"/>
      <c r="I330" s="79"/>
      <c r="J330" s="79"/>
      <c r="K330" s="79"/>
      <c r="L330" s="79"/>
      <c r="M330" s="79"/>
    </row>
    <row r="331" spans="1:26" ht="15" customHeight="1" x14ac:dyDescent="0.25">
      <c r="B331" s="1096" t="s">
        <v>699</v>
      </c>
      <c r="C331" s="1096"/>
      <c r="D331" s="1096"/>
      <c r="E331" s="1096"/>
      <c r="F331" s="1096"/>
      <c r="G331" s="1096"/>
      <c r="H331" s="1096"/>
      <c r="I331" s="1096"/>
      <c r="J331" s="1096"/>
      <c r="K331" s="1096"/>
      <c r="L331" s="1096"/>
      <c r="M331" s="1096"/>
    </row>
    <row r="332" spans="1:26" ht="46.95" customHeight="1" x14ac:dyDescent="0.3">
      <c r="B332" s="88"/>
      <c r="C332" s="79"/>
      <c r="D332" s="79"/>
      <c r="E332" s="83"/>
      <c r="F332" s="83"/>
      <c r="G332" s="83"/>
      <c r="H332" s="84"/>
      <c r="I332" s="84"/>
      <c r="J332" s="83"/>
      <c r="K332" s="83"/>
      <c r="L332" s="84"/>
      <c r="M332" s="84"/>
    </row>
    <row r="333" spans="1:26" ht="15.6" x14ac:dyDescent="0.3">
      <c r="B333" s="88"/>
      <c r="C333" s="79"/>
      <c r="D333" s="79"/>
      <c r="E333" s="1069" t="s">
        <v>290</v>
      </c>
      <c r="F333" s="1069"/>
      <c r="G333" s="1069"/>
      <c r="H333" s="1070" t="s">
        <v>113</v>
      </c>
      <c r="I333" s="1070"/>
      <c r="J333" s="1069" t="s">
        <v>291</v>
      </c>
      <c r="K333" s="1069"/>
      <c r="L333" s="1070" t="s">
        <v>113</v>
      </c>
      <c r="M333" s="1070"/>
    </row>
    <row r="334" spans="1:26" ht="15.6" thickBot="1" x14ac:dyDescent="0.3">
      <c r="B334" s="78"/>
      <c r="C334" s="79"/>
      <c r="D334" s="79"/>
      <c r="E334" s="79"/>
      <c r="F334" s="79"/>
      <c r="G334" s="79"/>
      <c r="H334" s="79"/>
      <c r="I334" s="79"/>
      <c r="J334" s="79"/>
      <c r="K334" s="79"/>
      <c r="L334" s="79"/>
      <c r="M334" s="79"/>
    </row>
    <row r="335" spans="1:26" ht="13.8" thickBot="1" x14ac:dyDescent="0.3">
      <c r="B335" s="79"/>
      <c r="C335" s="80" t="s">
        <v>297</v>
      </c>
      <c r="D335" s="79"/>
      <c r="E335" s="79"/>
      <c r="F335" s="91">
        <v>1</v>
      </c>
      <c r="G335" s="82" t="s">
        <v>293</v>
      </c>
      <c r="H335" s="90">
        <f t="shared" ref="H335:H346" si="29">$H$163</f>
        <v>14.5</v>
      </c>
      <c r="I335" s="82" t="s">
        <v>294</v>
      </c>
      <c r="J335" s="92"/>
      <c r="K335" s="82" t="s">
        <v>293</v>
      </c>
      <c r="L335" s="90">
        <f t="shared" ref="L335:L346" si="30">$L$163</f>
        <v>14.5</v>
      </c>
      <c r="M335" s="82" t="s">
        <v>294</v>
      </c>
    </row>
    <row r="336" spans="1:26" ht="13.8" thickBot="1" x14ac:dyDescent="0.3">
      <c r="B336" s="79"/>
      <c r="C336" s="80" t="s">
        <v>569</v>
      </c>
      <c r="D336" s="79"/>
      <c r="E336" s="79"/>
      <c r="F336" s="91">
        <v>20</v>
      </c>
      <c r="G336" s="82" t="s">
        <v>293</v>
      </c>
      <c r="H336" s="90">
        <f t="shared" si="29"/>
        <v>14.5</v>
      </c>
      <c r="I336" s="82" t="s">
        <v>294</v>
      </c>
      <c r="J336" s="92">
        <v>20</v>
      </c>
      <c r="K336" s="82" t="s">
        <v>293</v>
      </c>
      <c r="L336" s="90">
        <f t="shared" si="30"/>
        <v>14.5</v>
      </c>
      <c r="M336" s="82" t="s">
        <v>294</v>
      </c>
    </row>
    <row r="337" spans="1:26" ht="13.8" thickBot="1" x14ac:dyDescent="0.3">
      <c r="B337" s="79"/>
      <c r="C337" s="80" t="s">
        <v>303</v>
      </c>
      <c r="D337" s="79"/>
      <c r="E337" s="79"/>
      <c r="F337" s="91">
        <v>2</v>
      </c>
      <c r="G337" s="82" t="s">
        <v>293</v>
      </c>
      <c r="H337" s="90">
        <f t="shared" si="29"/>
        <v>14.5</v>
      </c>
      <c r="I337" s="82" t="s">
        <v>294</v>
      </c>
      <c r="J337" s="92"/>
      <c r="K337" s="82" t="s">
        <v>293</v>
      </c>
      <c r="L337" s="90">
        <f t="shared" si="30"/>
        <v>14.5</v>
      </c>
      <c r="M337" s="82" t="s">
        <v>294</v>
      </c>
    </row>
    <row r="338" spans="1:26" ht="13.8" thickBot="1" x14ac:dyDescent="0.3">
      <c r="B338" s="79"/>
      <c r="C338" s="80" t="s">
        <v>38</v>
      </c>
      <c r="D338" s="79"/>
      <c r="E338" s="79"/>
      <c r="F338" s="91"/>
      <c r="G338" s="82" t="s">
        <v>212</v>
      </c>
      <c r="H338" s="91"/>
      <c r="I338" s="82" t="s">
        <v>206</v>
      </c>
      <c r="J338" s="91"/>
      <c r="K338" s="82" t="s">
        <v>212</v>
      </c>
      <c r="L338" s="91"/>
      <c r="M338" s="82" t="s">
        <v>206</v>
      </c>
    </row>
    <row r="339" spans="1:26" ht="13.8" thickBot="1" x14ac:dyDescent="0.3">
      <c r="B339" s="79"/>
      <c r="C339" s="80" t="s">
        <v>38</v>
      </c>
      <c r="D339" s="79"/>
      <c r="E339" s="79"/>
      <c r="F339" s="91">
        <v>4</v>
      </c>
      <c r="G339" s="82" t="s">
        <v>293</v>
      </c>
      <c r="H339" s="90">
        <f t="shared" si="29"/>
        <v>14.5</v>
      </c>
      <c r="I339" s="82" t="s">
        <v>294</v>
      </c>
      <c r="J339" s="92"/>
      <c r="K339" s="82" t="s">
        <v>293</v>
      </c>
      <c r="L339" s="90">
        <f t="shared" si="30"/>
        <v>14.5</v>
      </c>
      <c r="M339" s="82" t="s">
        <v>294</v>
      </c>
    </row>
    <row r="340" spans="1:26" ht="13.8" thickBot="1" x14ac:dyDescent="0.3">
      <c r="B340" s="79"/>
      <c r="C340" s="80" t="s">
        <v>689</v>
      </c>
      <c r="D340" s="79"/>
      <c r="E340" s="79"/>
      <c r="F340" s="91">
        <v>8</v>
      </c>
      <c r="G340" s="82" t="s">
        <v>293</v>
      </c>
      <c r="H340" s="90">
        <f t="shared" si="29"/>
        <v>14.5</v>
      </c>
      <c r="I340" s="82" t="s">
        <v>294</v>
      </c>
      <c r="J340" s="92"/>
      <c r="K340" s="82" t="s">
        <v>293</v>
      </c>
      <c r="L340" s="90">
        <f t="shared" si="30"/>
        <v>14.5</v>
      </c>
      <c r="M340" s="82" t="s">
        <v>294</v>
      </c>
    </row>
    <row r="341" spans="1:26" ht="13.8" thickBot="1" x14ac:dyDescent="0.3">
      <c r="B341" s="79"/>
      <c r="C341" s="80" t="s">
        <v>690</v>
      </c>
      <c r="D341" s="79"/>
      <c r="E341" s="79"/>
      <c r="F341" s="91">
        <v>8</v>
      </c>
      <c r="G341" s="82" t="s">
        <v>293</v>
      </c>
      <c r="H341" s="90">
        <f t="shared" si="29"/>
        <v>14.5</v>
      </c>
      <c r="I341" s="82" t="s">
        <v>294</v>
      </c>
      <c r="J341" s="92"/>
      <c r="K341" s="82" t="s">
        <v>293</v>
      </c>
      <c r="L341" s="90">
        <f t="shared" si="30"/>
        <v>14.5</v>
      </c>
      <c r="M341" s="82" t="s">
        <v>294</v>
      </c>
    </row>
    <row r="342" spans="1:26" ht="13.8" thickBot="1" x14ac:dyDescent="0.3">
      <c r="B342" s="79"/>
      <c r="C342" s="80" t="s">
        <v>691</v>
      </c>
      <c r="D342" s="79"/>
      <c r="E342" s="79"/>
      <c r="F342" s="91">
        <v>10</v>
      </c>
      <c r="G342" s="82" t="s">
        <v>293</v>
      </c>
      <c r="H342" s="90">
        <f t="shared" si="29"/>
        <v>14.5</v>
      </c>
      <c r="I342" s="82" t="s">
        <v>294</v>
      </c>
      <c r="J342" s="92"/>
      <c r="K342" s="82" t="s">
        <v>293</v>
      </c>
      <c r="L342" s="90">
        <f t="shared" si="30"/>
        <v>14.5</v>
      </c>
      <c r="M342" s="82" t="s">
        <v>294</v>
      </c>
    </row>
    <row r="343" spans="1:26" ht="13.8" thickBot="1" x14ac:dyDescent="0.3">
      <c r="B343" s="79"/>
      <c r="C343" s="80" t="s">
        <v>503</v>
      </c>
      <c r="D343" s="79"/>
      <c r="E343" s="79"/>
      <c r="F343" s="92">
        <v>20</v>
      </c>
      <c r="G343" s="82" t="s">
        <v>293</v>
      </c>
      <c r="H343" s="90">
        <f t="shared" si="29"/>
        <v>14.5</v>
      </c>
      <c r="I343" s="82" t="s">
        <v>294</v>
      </c>
      <c r="J343" s="92"/>
      <c r="K343" s="82" t="s">
        <v>293</v>
      </c>
      <c r="L343" s="90">
        <f t="shared" si="30"/>
        <v>14.5</v>
      </c>
      <c r="M343" s="82" t="s">
        <v>294</v>
      </c>
    </row>
    <row r="344" spans="1:26" ht="13.8" thickBot="1" x14ac:dyDescent="0.3">
      <c r="B344" s="79"/>
      <c r="C344" s="80" t="s">
        <v>431</v>
      </c>
      <c r="D344" s="79"/>
      <c r="E344" s="79"/>
      <c r="F344" s="92"/>
      <c r="G344" s="82" t="s">
        <v>293</v>
      </c>
      <c r="H344" s="90">
        <f t="shared" si="29"/>
        <v>14.5</v>
      </c>
      <c r="I344" s="82" t="s">
        <v>294</v>
      </c>
      <c r="J344" s="75"/>
      <c r="K344" s="82" t="s">
        <v>293</v>
      </c>
      <c r="L344" s="90">
        <f t="shared" si="30"/>
        <v>14.5</v>
      </c>
      <c r="M344" s="82" t="s">
        <v>294</v>
      </c>
    </row>
    <row r="345" spans="1:26" ht="13.8" thickBot="1" x14ac:dyDescent="0.3">
      <c r="B345" s="79"/>
      <c r="C345" s="80" t="s">
        <v>431</v>
      </c>
      <c r="D345" s="79"/>
      <c r="E345" s="79"/>
      <c r="F345" s="92"/>
      <c r="G345" s="82" t="s">
        <v>293</v>
      </c>
      <c r="H345" s="90">
        <f t="shared" si="29"/>
        <v>14.5</v>
      </c>
      <c r="I345" s="82" t="s">
        <v>294</v>
      </c>
      <c r="J345" s="75"/>
      <c r="K345" s="82" t="s">
        <v>293</v>
      </c>
      <c r="L345" s="90">
        <f t="shared" si="30"/>
        <v>14.5</v>
      </c>
      <c r="M345" s="82" t="s">
        <v>294</v>
      </c>
    </row>
    <row r="346" spans="1:26" ht="13.8" thickBot="1" x14ac:dyDescent="0.3">
      <c r="B346" s="79"/>
      <c r="C346" s="80" t="s">
        <v>431</v>
      </c>
      <c r="D346" s="81"/>
      <c r="E346" s="81"/>
      <c r="F346" s="75"/>
      <c r="G346" s="82" t="s">
        <v>293</v>
      </c>
      <c r="H346" s="90">
        <f t="shared" si="29"/>
        <v>14.5</v>
      </c>
      <c r="I346" s="82" t="s">
        <v>294</v>
      </c>
      <c r="J346" s="75"/>
      <c r="K346" s="82" t="s">
        <v>293</v>
      </c>
      <c r="L346" s="90">
        <f t="shared" si="30"/>
        <v>14.5</v>
      </c>
      <c r="M346" s="82" t="s">
        <v>294</v>
      </c>
    </row>
    <row r="347" spans="1:26" x14ac:dyDescent="0.25">
      <c r="B347" s="209"/>
      <c r="C347" s="210" t="s">
        <v>54</v>
      </c>
      <c r="D347" s="211"/>
      <c r="E347" s="211"/>
      <c r="F347" s="212">
        <f>SUM(F335:F337)+SUM(F339:F346)</f>
        <v>73</v>
      </c>
      <c r="G347" s="209" t="s">
        <v>293</v>
      </c>
      <c r="H347" s="213">
        <f>F347*H163+F338*H338</f>
        <v>1058.5</v>
      </c>
      <c r="I347" s="209" t="s">
        <v>57</v>
      </c>
      <c r="J347" s="212">
        <f>SUM(J335:J337,J339:J346)</f>
        <v>20</v>
      </c>
      <c r="K347" s="209" t="s">
        <v>293</v>
      </c>
      <c r="L347" s="213">
        <f>J347*L163+J338*L338</f>
        <v>290</v>
      </c>
      <c r="M347" s="209" t="s">
        <v>57</v>
      </c>
    </row>
    <row r="348" spans="1:26" s="5" customFormat="1" ht="13.8" thickBot="1" x14ac:dyDescent="0.3">
      <c r="A348" s="478"/>
      <c r="B348" s="116"/>
      <c r="C348" s="116"/>
      <c r="D348" s="116"/>
      <c r="E348" s="116"/>
      <c r="F348" s="116"/>
      <c r="G348" s="116"/>
      <c r="H348" s="116"/>
      <c r="I348" s="116"/>
      <c r="J348" s="116"/>
      <c r="K348" s="116"/>
      <c r="L348" s="116"/>
      <c r="M348" s="116"/>
      <c r="N348"/>
      <c r="O348"/>
      <c r="P348"/>
      <c r="Q348"/>
      <c r="R348"/>
      <c r="S348"/>
      <c r="T348"/>
      <c r="U348"/>
      <c r="Y348"/>
      <c r="Z348"/>
    </row>
    <row r="349" spans="1:26" ht="58.2" customHeight="1" thickBot="1" x14ac:dyDescent="0.45">
      <c r="B349" s="1078" t="s">
        <v>581</v>
      </c>
      <c r="C349" s="1079"/>
      <c r="D349" s="1079"/>
      <c r="E349" s="1080"/>
      <c r="F349" s="116"/>
      <c r="G349" s="116"/>
      <c r="H349" s="116"/>
      <c r="I349" s="116"/>
      <c r="J349" s="1140" t="s">
        <v>241</v>
      </c>
      <c r="K349" s="1140"/>
      <c r="L349" s="1140"/>
      <c r="M349" s="116"/>
      <c r="N349" s="5"/>
      <c r="O349" s="5"/>
      <c r="P349" s="5"/>
      <c r="Q349" s="5"/>
      <c r="R349" s="5"/>
      <c r="S349" s="5"/>
      <c r="T349" s="5"/>
      <c r="U349" s="5"/>
      <c r="Y349" s="5"/>
      <c r="Z349" s="5"/>
    </row>
    <row r="350" spans="1:26" x14ac:dyDescent="0.25">
      <c r="B350" s="116"/>
      <c r="C350" s="116"/>
      <c r="D350" s="116"/>
      <c r="E350" s="116"/>
      <c r="F350" s="116"/>
      <c r="G350" s="116"/>
      <c r="H350" s="116"/>
      <c r="I350" s="116"/>
      <c r="J350" s="116"/>
      <c r="K350" s="116"/>
      <c r="L350" s="116"/>
      <c r="M350" s="116"/>
    </row>
    <row r="351" spans="1:26" ht="15" customHeight="1" x14ac:dyDescent="0.25">
      <c r="B351" s="1128" t="s">
        <v>754</v>
      </c>
      <c r="C351" s="1128"/>
      <c r="D351" s="1128"/>
      <c r="E351" s="1128"/>
      <c r="F351" s="1128"/>
      <c r="G351" s="1128"/>
      <c r="H351" s="1128"/>
      <c r="I351" s="1128"/>
      <c r="J351" s="1128"/>
      <c r="K351" s="1128"/>
      <c r="L351" s="1128"/>
      <c r="M351" s="1128"/>
    </row>
    <row r="352" spans="1:26" s="69" customFormat="1" ht="49.95" customHeight="1" x14ac:dyDescent="0.25">
      <c r="A352" s="480"/>
      <c r="B352" s="116"/>
      <c r="C352" s="116"/>
      <c r="D352" s="116"/>
      <c r="E352" s="116"/>
      <c r="F352" s="116"/>
      <c r="G352" s="116"/>
      <c r="H352" s="116"/>
      <c r="I352" s="116"/>
      <c r="J352" s="116"/>
      <c r="K352" s="116"/>
      <c r="L352" s="116"/>
      <c r="M352" s="116"/>
      <c r="N352"/>
      <c r="O352"/>
      <c r="P352"/>
      <c r="Q352"/>
      <c r="R352"/>
      <c r="S352"/>
      <c r="T352"/>
      <c r="U352"/>
      <c r="Y352"/>
      <c r="Z352"/>
    </row>
    <row r="353" spans="1:26" ht="31.2" customHeight="1" x14ac:dyDescent="0.3">
      <c r="B353" s="85" t="s">
        <v>694</v>
      </c>
      <c r="C353" s="51"/>
      <c r="D353" s="51"/>
      <c r="E353" s="51"/>
      <c r="F353" s="1075" t="s">
        <v>114</v>
      </c>
      <c r="G353" s="1075"/>
      <c r="H353" s="1076" t="s">
        <v>113</v>
      </c>
      <c r="I353" s="1076"/>
      <c r="J353" s="1075" t="s">
        <v>755</v>
      </c>
      <c r="K353" s="1075"/>
      <c r="L353" s="58"/>
      <c r="M353" s="58"/>
      <c r="N353" s="69"/>
      <c r="O353" s="69"/>
      <c r="P353" s="69"/>
      <c r="Q353" s="69"/>
      <c r="R353" s="69"/>
      <c r="S353" s="69"/>
      <c r="T353" s="69"/>
      <c r="U353" s="69"/>
      <c r="Y353" s="69"/>
      <c r="Z353" s="69"/>
    </row>
    <row r="354" spans="1:26" ht="15.6" x14ac:dyDescent="0.3">
      <c r="B354" s="85"/>
      <c r="C354" s="51"/>
      <c r="D354" s="387" t="s">
        <v>253</v>
      </c>
      <c r="E354" s="51"/>
      <c r="F354" s="59"/>
      <c r="G354" s="59"/>
      <c r="H354" s="60"/>
      <c r="I354" s="60"/>
      <c r="J354" s="59"/>
      <c r="K354" s="59"/>
      <c r="L354" s="58"/>
      <c r="M354" s="58"/>
    </row>
    <row r="355" spans="1:26" ht="13.8" thickBot="1" x14ac:dyDescent="0.3">
      <c r="B355" s="171" t="s">
        <v>254</v>
      </c>
      <c r="C355" s="51"/>
      <c r="D355" s="51"/>
      <c r="E355" s="51"/>
      <c r="F355" s="53"/>
      <c r="G355" s="53"/>
      <c r="H355" s="52"/>
      <c r="I355" s="52"/>
      <c r="J355" s="58"/>
      <c r="K355" s="58"/>
      <c r="L355" s="58"/>
      <c r="M355" s="58"/>
    </row>
    <row r="356" spans="1:26" ht="13.8" thickBot="1" x14ac:dyDescent="0.3">
      <c r="B356" s="51"/>
      <c r="C356" s="51" t="s">
        <v>603</v>
      </c>
      <c r="D356" s="58"/>
      <c r="E356" s="51"/>
      <c r="F356" s="95">
        <v>3.3</v>
      </c>
      <c r="G356" s="53" t="s">
        <v>256</v>
      </c>
      <c r="H356" s="77">
        <v>16.8</v>
      </c>
      <c r="I356" s="52" t="s">
        <v>257</v>
      </c>
      <c r="J356" s="58">
        <f>F356*H356</f>
        <v>55.44</v>
      </c>
      <c r="K356" s="51" t="s">
        <v>57</v>
      </c>
      <c r="L356" s="58"/>
      <c r="M356" s="58"/>
    </row>
    <row r="357" spans="1:26" ht="13.8" thickBot="1" x14ac:dyDescent="0.3">
      <c r="B357" s="51"/>
      <c r="C357" s="51" t="s">
        <v>265</v>
      </c>
      <c r="D357" s="51"/>
      <c r="E357" s="51"/>
      <c r="F357" s="95"/>
      <c r="G357" s="53" t="s">
        <v>256</v>
      </c>
      <c r="H357" s="77"/>
      <c r="I357" s="52" t="s">
        <v>257</v>
      </c>
      <c r="J357" s="58">
        <f t="shared" ref="J357:J358" si="31">F357*H357</f>
        <v>0</v>
      </c>
      <c r="K357" s="51" t="s">
        <v>57</v>
      </c>
      <c r="L357" s="58"/>
      <c r="M357" s="58"/>
    </row>
    <row r="358" spans="1:26" ht="13.8" thickBot="1" x14ac:dyDescent="0.3">
      <c r="B358" s="51"/>
      <c r="C358" s="51" t="s">
        <v>265</v>
      </c>
      <c r="D358" s="51"/>
      <c r="E358" s="51"/>
      <c r="F358" s="95"/>
      <c r="G358" s="53" t="s">
        <v>256</v>
      </c>
      <c r="H358" s="77"/>
      <c r="I358" s="52" t="s">
        <v>257</v>
      </c>
      <c r="J358" s="58">
        <f t="shared" si="31"/>
        <v>0</v>
      </c>
      <c r="K358" s="51" t="s">
        <v>57</v>
      </c>
      <c r="L358" s="58"/>
      <c r="M358" s="58"/>
    </row>
    <row r="359" spans="1:26" x14ac:dyDescent="0.25">
      <c r="B359" s="51"/>
      <c r="C359" s="51"/>
      <c r="D359" s="51"/>
      <c r="E359" s="51"/>
      <c r="F359" s="53"/>
      <c r="G359" s="53"/>
      <c r="H359" s="52"/>
      <c r="I359" s="52"/>
      <c r="J359" s="58"/>
      <c r="K359" s="51"/>
      <c r="L359" s="58"/>
      <c r="M359" s="58"/>
    </row>
    <row r="360" spans="1:26" ht="13.8" thickBot="1" x14ac:dyDescent="0.3">
      <c r="B360" s="171" t="s">
        <v>266</v>
      </c>
      <c r="C360" s="51"/>
      <c r="D360" s="51"/>
      <c r="E360" s="51"/>
      <c r="F360" s="53"/>
      <c r="G360" s="53"/>
      <c r="H360" s="52"/>
      <c r="I360" s="52"/>
      <c r="J360" s="58"/>
      <c r="K360" s="51"/>
      <c r="L360" s="58"/>
      <c r="M360" s="58"/>
    </row>
    <row r="361" spans="1:26" ht="13.8" thickBot="1" x14ac:dyDescent="0.3">
      <c r="B361" s="51"/>
      <c r="C361" s="51" t="s">
        <v>267</v>
      </c>
      <c r="D361" s="51"/>
      <c r="E361" s="51"/>
      <c r="F361" s="95"/>
      <c r="G361" s="53"/>
      <c r="H361" s="95"/>
      <c r="I361" s="52"/>
      <c r="J361" s="58"/>
      <c r="K361" s="51" t="s">
        <v>57</v>
      </c>
      <c r="L361" s="58"/>
      <c r="M361" s="58"/>
    </row>
    <row r="362" spans="1:26" ht="13.8" thickBot="1" x14ac:dyDescent="0.3">
      <c r="B362" s="51"/>
      <c r="C362" s="51" t="s">
        <v>267</v>
      </c>
      <c r="D362" s="51"/>
      <c r="E362" s="51"/>
      <c r="F362" s="95"/>
      <c r="G362" s="53"/>
      <c r="H362" s="95"/>
      <c r="I362" s="52"/>
      <c r="J362" s="58"/>
      <c r="K362" s="51" t="s">
        <v>57</v>
      </c>
      <c r="L362" s="58"/>
      <c r="M362" s="58"/>
    </row>
    <row r="363" spans="1:26" ht="13.8" thickBot="1" x14ac:dyDescent="0.3">
      <c r="B363" s="51"/>
      <c r="C363" s="51" t="s">
        <v>267</v>
      </c>
      <c r="D363" s="51"/>
      <c r="E363" s="51"/>
      <c r="F363" s="95"/>
      <c r="G363" s="53"/>
      <c r="H363" s="95"/>
      <c r="I363" s="52"/>
      <c r="J363" s="58"/>
      <c r="K363" s="51" t="s">
        <v>57</v>
      </c>
      <c r="L363" s="58"/>
      <c r="M363" s="58"/>
    </row>
    <row r="364" spans="1:26" x14ac:dyDescent="0.25">
      <c r="B364" s="195"/>
      <c r="C364" s="195" t="s">
        <v>54</v>
      </c>
      <c r="D364" s="195"/>
      <c r="E364" s="195"/>
      <c r="F364" s="196"/>
      <c r="G364" s="196"/>
      <c r="H364" s="196"/>
      <c r="I364" s="197"/>
      <c r="J364" s="195">
        <f>SUM(J356:J363)</f>
        <v>55.44</v>
      </c>
      <c r="K364" s="195" t="s">
        <v>57</v>
      </c>
      <c r="L364" s="195"/>
      <c r="M364" s="195"/>
    </row>
    <row r="365" spans="1:26" s="5" customFormat="1" x14ac:dyDescent="0.25">
      <c r="A365" s="478"/>
      <c r="B365" s="51"/>
      <c r="C365" s="51"/>
      <c r="D365" s="54"/>
      <c r="E365" s="51"/>
      <c r="F365" s="51"/>
      <c r="G365" s="53"/>
      <c r="H365" s="52"/>
      <c r="I365" s="52"/>
      <c r="J365" s="52"/>
      <c r="K365" s="58"/>
      <c r="L365" s="58"/>
      <c r="M365" s="58"/>
      <c r="N365"/>
      <c r="O365"/>
      <c r="P365"/>
      <c r="Q365"/>
      <c r="R365"/>
      <c r="S365"/>
      <c r="T365"/>
      <c r="U365"/>
      <c r="Y365"/>
      <c r="Z365"/>
    </row>
    <row r="366" spans="1:26" x14ac:dyDescent="0.25">
      <c r="A366" s="483"/>
      <c r="B366" s="435"/>
      <c r="C366" s="435"/>
      <c r="D366" s="445"/>
      <c r="E366" s="435"/>
      <c r="F366" s="435"/>
      <c r="G366" s="439"/>
      <c r="H366" s="437"/>
      <c r="I366" s="437"/>
      <c r="J366" s="437"/>
      <c r="K366" s="116"/>
      <c r="L366" s="116"/>
      <c r="M366" s="116"/>
      <c r="N366" s="5"/>
      <c r="O366" s="5"/>
      <c r="P366" s="5"/>
      <c r="Q366" s="5"/>
      <c r="R366" s="5"/>
      <c r="S366" s="5"/>
      <c r="T366" s="5"/>
      <c r="U366" s="5"/>
      <c r="Y366" s="5"/>
      <c r="Z366" s="5"/>
    </row>
    <row r="367" spans="1:26" ht="28.2" customHeight="1" x14ac:dyDescent="0.3">
      <c r="A367" s="483"/>
      <c r="B367" s="176" t="s">
        <v>638</v>
      </c>
      <c r="C367" s="177"/>
      <c r="D367" s="177"/>
      <c r="E367" s="177"/>
      <c r="F367" s="1067" t="s">
        <v>114</v>
      </c>
      <c r="G367" s="1067"/>
      <c r="H367" s="1067" t="s">
        <v>113</v>
      </c>
      <c r="I367" s="1067"/>
      <c r="J367" s="1067" t="s">
        <v>243</v>
      </c>
      <c r="K367" s="1067"/>
      <c r="L367" s="179"/>
      <c r="M367" s="179"/>
    </row>
    <row r="368" spans="1:26" ht="13.8" thickBot="1" x14ac:dyDescent="0.3">
      <c r="B368" s="177"/>
      <c r="C368" s="177"/>
      <c r="D368" s="177"/>
      <c r="E368" s="177"/>
      <c r="F368" s="177"/>
      <c r="G368" s="177"/>
      <c r="H368" s="178"/>
      <c r="I368" s="178"/>
      <c r="J368" s="179"/>
      <c r="K368" s="179"/>
      <c r="L368" s="179"/>
      <c r="M368" s="179"/>
    </row>
    <row r="369" spans="1:26" ht="13.8" thickBot="1" x14ac:dyDescent="0.3">
      <c r="B369" s="177"/>
      <c r="C369" s="177" t="s">
        <v>696</v>
      </c>
      <c r="D369" s="179"/>
      <c r="E369" s="177"/>
      <c r="F369" s="74">
        <v>2</v>
      </c>
      <c r="G369" s="177" t="s">
        <v>7</v>
      </c>
      <c r="H369" s="77">
        <v>62</v>
      </c>
      <c r="I369" s="178" t="s">
        <v>294</v>
      </c>
      <c r="J369" s="180">
        <f t="shared" ref="J369:J371" si="32">F369*H369</f>
        <v>124</v>
      </c>
      <c r="K369" s="177" t="s">
        <v>57</v>
      </c>
      <c r="L369" s="179"/>
      <c r="M369" s="179"/>
    </row>
    <row r="370" spans="1:26" ht="13.8" thickBot="1" x14ac:dyDescent="0.3">
      <c r="B370" s="177"/>
      <c r="C370" s="177" t="s">
        <v>276</v>
      </c>
      <c r="D370" s="177"/>
      <c r="E370" s="177"/>
      <c r="F370" s="74"/>
      <c r="G370" s="177" t="s">
        <v>7</v>
      </c>
      <c r="H370" s="77"/>
      <c r="I370" s="178" t="s">
        <v>57</v>
      </c>
      <c r="J370" s="180">
        <f t="shared" si="32"/>
        <v>0</v>
      </c>
      <c r="K370" s="177" t="s">
        <v>57</v>
      </c>
      <c r="L370" s="179"/>
      <c r="M370" s="179"/>
    </row>
    <row r="371" spans="1:26" ht="13.8" thickBot="1" x14ac:dyDescent="0.3">
      <c r="B371" s="177"/>
      <c r="C371" s="177" t="s">
        <v>276</v>
      </c>
      <c r="D371" s="177"/>
      <c r="E371" s="177"/>
      <c r="F371" s="74"/>
      <c r="G371" s="177" t="s">
        <v>7</v>
      </c>
      <c r="H371" s="77"/>
      <c r="I371" s="178" t="s">
        <v>57</v>
      </c>
      <c r="J371" s="180">
        <f t="shared" si="32"/>
        <v>0</v>
      </c>
      <c r="K371" s="177" t="s">
        <v>57</v>
      </c>
      <c r="L371" s="179"/>
      <c r="M371" s="179"/>
    </row>
    <row r="372" spans="1:26" x14ac:dyDescent="0.25">
      <c r="B372" s="204"/>
      <c r="C372" s="204" t="s">
        <v>54</v>
      </c>
      <c r="D372" s="204"/>
      <c r="E372" s="204"/>
      <c r="F372" s="204"/>
      <c r="G372" s="204"/>
      <c r="H372" s="205"/>
      <c r="I372" s="205"/>
      <c r="J372" s="206">
        <f>SUM(J369:J371)</f>
        <v>124</v>
      </c>
      <c r="K372" s="204" t="s">
        <v>57</v>
      </c>
      <c r="L372" s="204"/>
      <c r="M372" s="204"/>
    </row>
    <row r="373" spans="1:26" s="5" customFormat="1" x14ac:dyDescent="0.25">
      <c r="A373" s="478"/>
      <c r="B373" s="177"/>
      <c r="C373" s="177"/>
      <c r="D373" s="177"/>
      <c r="E373" s="177"/>
      <c r="F373" s="177"/>
      <c r="G373" s="177"/>
      <c r="H373" s="178"/>
      <c r="I373" s="178"/>
      <c r="J373" s="180"/>
      <c r="K373" s="177"/>
      <c r="L373" s="179"/>
      <c r="M373" s="179"/>
      <c r="N373"/>
      <c r="O373"/>
      <c r="P373"/>
      <c r="Q373"/>
      <c r="R373"/>
      <c r="S373"/>
      <c r="T373"/>
      <c r="U373"/>
      <c r="Y373"/>
      <c r="Z373"/>
    </row>
    <row r="374" spans="1:26" x14ac:dyDescent="0.25">
      <c r="N374" s="5"/>
      <c r="O374" s="5"/>
      <c r="P374" s="5"/>
      <c r="Q374" s="5"/>
      <c r="R374" s="5"/>
      <c r="S374" s="5"/>
      <c r="T374" s="5"/>
      <c r="U374" s="5"/>
      <c r="Y374" s="5"/>
      <c r="Z374" s="5"/>
    </row>
    <row r="375" spans="1:26" ht="33" customHeight="1" x14ac:dyDescent="0.3">
      <c r="B375" s="181" t="s">
        <v>639</v>
      </c>
      <c r="C375" s="182"/>
      <c r="D375" s="182"/>
      <c r="E375" s="183"/>
      <c r="F375" s="182" t="s">
        <v>114</v>
      </c>
      <c r="G375" s="184"/>
      <c r="H375" s="184" t="s">
        <v>113</v>
      </c>
      <c r="I375" s="182"/>
      <c r="J375" s="182" t="s">
        <v>243</v>
      </c>
      <c r="K375" s="185"/>
      <c r="L375" s="185"/>
      <c r="M375" s="185"/>
    </row>
    <row r="376" spans="1:26" ht="16.2" thickBot="1" x14ac:dyDescent="0.35">
      <c r="B376" s="181"/>
      <c r="C376" s="182"/>
      <c r="D376" s="182"/>
      <c r="E376" s="183"/>
      <c r="F376" s="182"/>
      <c r="G376" s="184"/>
      <c r="H376" s="184"/>
      <c r="I376" s="182"/>
      <c r="J376" s="182"/>
      <c r="K376" s="185"/>
      <c r="L376" s="185"/>
      <c r="M376" s="185"/>
    </row>
    <row r="377" spans="1:26" ht="13.8" thickBot="1" x14ac:dyDescent="0.3">
      <c r="B377" s="182"/>
      <c r="C377" s="182" t="s">
        <v>278</v>
      </c>
      <c r="D377" s="185"/>
      <c r="E377" s="186"/>
      <c r="F377" s="74"/>
      <c r="G377" s="187" t="s">
        <v>279</v>
      </c>
      <c r="H377" s="74"/>
      <c r="I377" s="188" t="s">
        <v>280</v>
      </c>
      <c r="J377" s="185">
        <f>H377*F377</f>
        <v>0</v>
      </c>
      <c r="K377" s="188" t="s">
        <v>57</v>
      </c>
      <c r="L377" s="185"/>
      <c r="M377" s="185"/>
    </row>
    <row r="378" spans="1:26" ht="13.8" thickBot="1" x14ac:dyDescent="0.3">
      <c r="B378" s="182"/>
      <c r="C378" s="182" t="s">
        <v>698</v>
      </c>
      <c r="D378" s="188">
        <f>F397/2</f>
        <v>1</v>
      </c>
      <c r="E378" s="182" t="s">
        <v>282</v>
      </c>
      <c r="F378" s="74">
        <f>+D378*8</f>
        <v>8</v>
      </c>
      <c r="G378" s="184" t="s">
        <v>256</v>
      </c>
      <c r="H378" s="74">
        <v>0.83</v>
      </c>
      <c r="I378" s="188" t="s">
        <v>257</v>
      </c>
      <c r="J378" s="185">
        <f>H378*F378</f>
        <v>6.64</v>
      </c>
      <c r="K378" s="188" t="s">
        <v>57</v>
      </c>
      <c r="L378" s="185"/>
      <c r="M378" s="185"/>
    </row>
    <row r="379" spans="1:26" ht="13.8" thickBot="1" x14ac:dyDescent="0.3">
      <c r="B379" s="182"/>
      <c r="C379" s="182" t="s">
        <v>686</v>
      </c>
      <c r="D379" s="188">
        <f>D378</f>
        <v>1</v>
      </c>
      <c r="E379" s="182" t="s">
        <v>282</v>
      </c>
      <c r="F379" s="74">
        <v>11.88</v>
      </c>
      <c r="G379" s="184" t="s">
        <v>212</v>
      </c>
      <c r="H379" s="74">
        <v>4</v>
      </c>
      <c r="I379" s="188" t="s">
        <v>206</v>
      </c>
      <c r="J379" s="185">
        <f t="shared" ref="J379:J383" si="33">H379*F379</f>
        <v>47.52</v>
      </c>
      <c r="K379" s="188" t="s">
        <v>57</v>
      </c>
      <c r="L379" s="185"/>
      <c r="M379" s="185"/>
    </row>
    <row r="380" spans="1:26" ht="13.8" thickBot="1" x14ac:dyDescent="0.3">
      <c r="B380" s="182"/>
      <c r="C380" s="182" t="s">
        <v>284</v>
      </c>
      <c r="D380" s="185"/>
      <c r="E380" s="188"/>
      <c r="F380" s="74"/>
      <c r="G380" s="184" t="s">
        <v>256</v>
      </c>
      <c r="H380" s="74">
        <v>1.53</v>
      </c>
      <c r="I380" s="188" t="s">
        <v>257</v>
      </c>
      <c r="J380" s="185">
        <f t="shared" si="33"/>
        <v>0</v>
      </c>
      <c r="K380" s="188" t="s">
        <v>57</v>
      </c>
      <c r="L380" s="185"/>
      <c r="M380" s="185"/>
    </row>
    <row r="381" spans="1:26" ht="13.8" thickBot="1" x14ac:dyDescent="0.3">
      <c r="B381" s="182"/>
      <c r="C381" s="182" t="s">
        <v>285</v>
      </c>
      <c r="D381" s="185"/>
      <c r="E381" s="188"/>
      <c r="F381" s="74"/>
      <c r="G381" s="184" t="s">
        <v>256</v>
      </c>
      <c r="H381" s="74">
        <v>1.6</v>
      </c>
      <c r="I381" s="188" t="s">
        <v>257</v>
      </c>
      <c r="J381" s="185">
        <f t="shared" si="33"/>
        <v>0</v>
      </c>
      <c r="K381" s="188" t="s">
        <v>57</v>
      </c>
      <c r="L381" s="185"/>
      <c r="M381" s="185"/>
    </row>
    <row r="382" spans="1:26" ht="13.8" thickBot="1" x14ac:dyDescent="0.3">
      <c r="B382" s="182"/>
      <c r="C382" s="182" t="s">
        <v>286</v>
      </c>
      <c r="D382" s="185"/>
      <c r="E382" s="188"/>
      <c r="F382" s="74"/>
      <c r="G382" s="184"/>
      <c r="H382" s="74"/>
      <c r="I382" s="188"/>
      <c r="J382" s="185">
        <f t="shared" si="33"/>
        <v>0</v>
      </c>
      <c r="K382" s="188" t="s">
        <v>57</v>
      </c>
      <c r="L382" s="185"/>
      <c r="M382" s="185"/>
    </row>
    <row r="383" spans="1:26" ht="13.8" thickBot="1" x14ac:dyDescent="0.3">
      <c r="B383" s="185"/>
      <c r="C383" s="182" t="s">
        <v>286</v>
      </c>
      <c r="D383" s="185"/>
      <c r="E383" s="185"/>
      <c r="F383" s="74"/>
      <c r="G383" s="185"/>
      <c r="H383" s="74"/>
      <c r="I383" s="185"/>
      <c r="J383" s="185">
        <f t="shared" si="33"/>
        <v>0</v>
      </c>
      <c r="K383" s="188" t="s">
        <v>57</v>
      </c>
      <c r="L383" s="185"/>
      <c r="M383" s="185"/>
    </row>
    <row r="384" spans="1:26" x14ac:dyDescent="0.25">
      <c r="B384" s="207"/>
      <c r="C384" s="207" t="s">
        <v>54</v>
      </c>
      <c r="D384" s="207"/>
      <c r="E384" s="207"/>
      <c r="F384" s="207"/>
      <c r="G384" s="207"/>
      <c r="H384" s="207"/>
      <c r="I384" s="207"/>
      <c r="J384" s="207">
        <f>SUM(J377:J383)</f>
        <v>54.160000000000004</v>
      </c>
      <c r="K384" s="208" t="s">
        <v>57</v>
      </c>
      <c r="L384" s="207"/>
      <c r="M384" s="207"/>
    </row>
    <row r="385" spans="1:26" s="5" customFormat="1" x14ac:dyDescent="0.25">
      <c r="A385" s="478"/>
      <c r="B385" s="185"/>
      <c r="C385" s="185"/>
      <c r="D385" s="185"/>
      <c r="E385" s="185"/>
      <c r="F385" s="185"/>
      <c r="G385" s="185"/>
      <c r="H385" s="185"/>
      <c r="I385" s="185"/>
      <c r="J385" s="185"/>
      <c r="K385" s="185"/>
      <c r="L385" s="185"/>
      <c r="M385" s="185"/>
      <c r="N385"/>
      <c r="O385"/>
      <c r="P385"/>
      <c r="Q385"/>
      <c r="R385"/>
      <c r="S385"/>
      <c r="T385"/>
      <c r="U385"/>
      <c r="Y385"/>
      <c r="Z385"/>
    </row>
    <row r="386" spans="1:26" x14ac:dyDescent="0.25">
      <c r="N386" s="5"/>
      <c r="O386" s="5"/>
      <c r="P386" s="5"/>
      <c r="Q386" s="5"/>
      <c r="R386" s="5"/>
      <c r="S386" s="5"/>
      <c r="T386" s="5"/>
      <c r="U386" s="5"/>
      <c r="Y386" s="5"/>
      <c r="Z386" s="5"/>
    </row>
    <row r="387" spans="1:26" ht="40.200000000000003" customHeight="1" x14ac:dyDescent="0.3">
      <c r="B387" s="88" t="s">
        <v>640</v>
      </c>
      <c r="C387" s="79"/>
      <c r="D387" s="79"/>
      <c r="E387" s="79"/>
      <c r="F387" s="79"/>
      <c r="G387" s="79"/>
      <c r="H387" s="79"/>
      <c r="I387" s="79"/>
      <c r="J387" s="79"/>
      <c r="K387" s="79"/>
      <c r="L387" s="79"/>
      <c r="M387" s="79"/>
    </row>
    <row r="388" spans="1:26" ht="15.6" x14ac:dyDescent="0.3">
      <c r="B388" s="88"/>
      <c r="C388" s="79"/>
      <c r="D388" s="79"/>
      <c r="E388" s="79"/>
      <c r="F388" s="79"/>
      <c r="G388" s="79"/>
      <c r="H388" s="79"/>
      <c r="I388" s="79"/>
      <c r="J388" s="79"/>
      <c r="K388" s="79"/>
      <c r="L388" s="79"/>
      <c r="M388" s="79"/>
    </row>
    <row r="389" spans="1:26" ht="15" customHeight="1" x14ac:dyDescent="0.25">
      <c r="B389" s="1096" t="s">
        <v>699</v>
      </c>
      <c r="C389" s="1096"/>
      <c r="D389" s="1096"/>
      <c r="E389" s="1096"/>
      <c r="F389" s="1096"/>
      <c r="G389" s="1096"/>
      <c r="H389" s="1096"/>
      <c r="I389" s="1096"/>
      <c r="J389" s="1096"/>
      <c r="K389" s="1096"/>
      <c r="L389" s="1096"/>
      <c r="M389" s="1096"/>
    </row>
    <row r="390" spans="1:26" ht="37.950000000000003" customHeight="1" x14ac:dyDescent="0.3">
      <c r="B390" s="88"/>
      <c r="C390" s="79"/>
      <c r="D390" s="79"/>
      <c r="E390" s="83"/>
      <c r="F390" s="83"/>
      <c r="G390" s="83"/>
      <c r="H390" s="84"/>
      <c r="I390" s="84"/>
      <c r="J390" s="83"/>
      <c r="K390" s="83"/>
      <c r="L390" s="84"/>
      <c r="M390" s="84"/>
    </row>
    <row r="391" spans="1:26" ht="15.6" x14ac:dyDescent="0.3">
      <c r="B391" s="88"/>
      <c r="C391" s="79"/>
      <c r="D391" s="79"/>
      <c r="E391" s="1069" t="s">
        <v>290</v>
      </c>
      <c r="F391" s="1069"/>
      <c r="G391" s="1069"/>
      <c r="H391" s="1070" t="s">
        <v>113</v>
      </c>
      <c r="I391" s="1070"/>
      <c r="J391" s="1069" t="s">
        <v>291</v>
      </c>
      <c r="K391" s="1069"/>
      <c r="L391" s="1070" t="s">
        <v>113</v>
      </c>
      <c r="M391" s="1070"/>
    </row>
    <row r="392" spans="1:26" ht="15.6" thickBot="1" x14ac:dyDescent="0.3">
      <c r="B392" s="78"/>
      <c r="C392" s="79"/>
      <c r="D392" s="79"/>
      <c r="E392" s="79"/>
      <c r="F392" s="79"/>
      <c r="G392" s="79"/>
      <c r="H392" s="79"/>
      <c r="I392" s="79"/>
      <c r="J392" s="79"/>
      <c r="K392" s="79"/>
      <c r="L392" s="79"/>
      <c r="M392" s="79"/>
    </row>
    <row r="393" spans="1:26" ht="13.8" thickBot="1" x14ac:dyDescent="0.3">
      <c r="B393" s="79"/>
      <c r="C393" s="80" t="s">
        <v>303</v>
      </c>
      <c r="D393" s="79"/>
      <c r="E393" s="79"/>
      <c r="F393" s="91">
        <v>2</v>
      </c>
      <c r="G393" s="82" t="s">
        <v>293</v>
      </c>
      <c r="H393" s="90">
        <f t="shared" ref="H393:H396" si="34">$H$163</f>
        <v>14.5</v>
      </c>
      <c r="I393" s="82" t="s">
        <v>294</v>
      </c>
      <c r="J393" s="92"/>
      <c r="K393" s="82" t="s">
        <v>293</v>
      </c>
      <c r="L393" s="90">
        <f t="shared" ref="L393:L396" si="35">$L$163</f>
        <v>14.5</v>
      </c>
      <c r="M393" s="82" t="s">
        <v>294</v>
      </c>
    </row>
    <row r="394" spans="1:26" ht="13.8" thickBot="1" x14ac:dyDescent="0.3">
      <c r="B394" s="79"/>
      <c r="C394" s="80" t="s">
        <v>431</v>
      </c>
      <c r="D394" s="79"/>
      <c r="E394" s="79"/>
      <c r="F394" s="92"/>
      <c r="G394" s="82" t="s">
        <v>293</v>
      </c>
      <c r="H394" s="90">
        <f t="shared" si="34"/>
        <v>14.5</v>
      </c>
      <c r="I394" s="82" t="s">
        <v>294</v>
      </c>
      <c r="J394" s="75"/>
      <c r="K394" s="82" t="s">
        <v>293</v>
      </c>
      <c r="L394" s="90">
        <f t="shared" si="35"/>
        <v>14.5</v>
      </c>
      <c r="M394" s="82" t="s">
        <v>294</v>
      </c>
    </row>
    <row r="395" spans="1:26" ht="13.8" thickBot="1" x14ac:dyDescent="0.3">
      <c r="B395" s="79"/>
      <c r="C395" s="80" t="s">
        <v>431</v>
      </c>
      <c r="D395" s="79"/>
      <c r="E395" s="79"/>
      <c r="F395" s="92"/>
      <c r="G395" s="82" t="s">
        <v>293</v>
      </c>
      <c r="H395" s="90">
        <f t="shared" si="34"/>
        <v>14.5</v>
      </c>
      <c r="I395" s="82" t="s">
        <v>294</v>
      </c>
      <c r="J395" s="75"/>
      <c r="K395" s="82" t="s">
        <v>293</v>
      </c>
      <c r="L395" s="90">
        <f t="shared" si="35"/>
        <v>14.5</v>
      </c>
      <c r="M395" s="82" t="s">
        <v>294</v>
      </c>
    </row>
    <row r="396" spans="1:26" ht="13.8" thickBot="1" x14ac:dyDescent="0.3">
      <c r="B396" s="79"/>
      <c r="C396" s="80" t="s">
        <v>431</v>
      </c>
      <c r="D396" s="81"/>
      <c r="E396" s="81"/>
      <c r="F396" s="75"/>
      <c r="G396" s="82" t="s">
        <v>293</v>
      </c>
      <c r="H396" s="90">
        <f t="shared" si="34"/>
        <v>14.5</v>
      </c>
      <c r="I396" s="82" t="s">
        <v>294</v>
      </c>
      <c r="J396" s="75"/>
      <c r="K396" s="82" t="s">
        <v>293</v>
      </c>
      <c r="L396" s="90">
        <f t="shared" si="35"/>
        <v>14.5</v>
      </c>
      <c r="M396" s="82" t="s">
        <v>294</v>
      </c>
    </row>
    <row r="397" spans="1:26" x14ac:dyDescent="0.25">
      <c r="B397" s="209"/>
      <c r="C397" s="210" t="s">
        <v>54</v>
      </c>
      <c r="D397" s="211"/>
      <c r="E397" s="211"/>
      <c r="F397" s="212">
        <f>SUM(F393:F396)</f>
        <v>2</v>
      </c>
      <c r="G397" s="209" t="s">
        <v>293</v>
      </c>
      <c r="H397" s="213">
        <f>F397*H163</f>
        <v>29</v>
      </c>
      <c r="I397" s="209" t="s">
        <v>57</v>
      </c>
      <c r="J397" s="212">
        <f>SUM(J393:J396)</f>
        <v>0</v>
      </c>
      <c r="K397" s="209" t="s">
        <v>293</v>
      </c>
      <c r="L397" s="213">
        <f>J397*L163</f>
        <v>0</v>
      </c>
      <c r="M397" s="209" t="s">
        <v>57</v>
      </c>
    </row>
    <row r="398" spans="1:26" s="5" customFormat="1" x14ac:dyDescent="0.25">
      <c r="A398" s="478"/>
      <c r="B398"/>
      <c r="C398"/>
      <c r="D398"/>
      <c r="E398"/>
      <c r="F398"/>
      <c r="G398"/>
      <c r="H398"/>
      <c r="I398"/>
      <c r="J398"/>
      <c r="K398"/>
      <c r="L398"/>
      <c r="M398"/>
      <c r="N398"/>
      <c r="O398"/>
      <c r="P398"/>
      <c r="Q398"/>
      <c r="R398"/>
      <c r="S398"/>
      <c r="T398"/>
      <c r="U398"/>
      <c r="Y398"/>
      <c r="Z398"/>
    </row>
    <row r="399" spans="1:26" x14ac:dyDescent="0.25">
      <c r="N399" s="5"/>
      <c r="O399" s="5"/>
      <c r="P399" s="5"/>
      <c r="Q399" s="5"/>
      <c r="R399" s="5"/>
      <c r="S399" s="5"/>
      <c r="T399" s="5"/>
      <c r="U399" s="5"/>
      <c r="Y399" s="5"/>
      <c r="Z399" s="5"/>
    </row>
  </sheetData>
  <mergeCells count="101">
    <mergeCell ref="Q9:S9"/>
    <mergeCell ref="B90:D90"/>
    <mergeCell ref="J255:K255"/>
    <mergeCell ref="B389:M389"/>
    <mergeCell ref="E391:G391"/>
    <mergeCell ref="H391:I391"/>
    <mergeCell ref="J391:K391"/>
    <mergeCell ref="L391:M391"/>
    <mergeCell ref="B349:E349"/>
    <mergeCell ref="J349:L349"/>
    <mergeCell ref="B351:M351"/>
    <mergeCell ref="F353:G353"/>
    <mergeCell ref="H353:I353"/>
    <mergeCell ref="J353:K353"/>
    <mergeCell ref="F367:G367"/>
    <mergeCell ref="H367:I367"/>
    <mergeCell ref="J367:K367"/>
    <mergeCell ref="F301:G301"/>
    <mergeCell ref="H301:I301"/>
    <mergeCell ref="J301:K301"/>
    <mergeCell ref="F309:G309"/>
    <mergeCell ref="H309:I309"/>
    <mergeCell ref="J309:K309"/>
    <mergeCell ref="B331:M331"/>
    <mergeCell ref="E333:G333"/>
    <mergeCell ref="H333:I333"/>
    <mergeCell ref="J333:K333"/>
    <mergeCell ref="L333:M333"/>
    <mergeCell ref="F266:G266"/>
    <mergeCell ref="H266:I266"/>
    <mergeCell ref="J266:K266"/>
    <mergeCell ref="F288:G288"/>
    <mergeCell ref="H288:I288"/>
    <mergeCell ref="J288:K288"/>
    <mergeCell ref="B159:M159"/>
    <mergeCell ref="E161:G161"/>
    <mergeCell ref="H161:I161"/>
    <mergeCell ref="J161:K161"/>
    <mergeCell ref="L161:M161"/>
    <mergeCell ref="F280:G280"/>
    <mergeCell ref="H280:I280"/>
    <mergeCell ref="J280:K280"/>
    <mergeCell ref="F217:G217"/>
    <mergeCell ref="H217:I217"/>
    <mergeCell ref="J217:K217"/>
    <mergeCell ref="B239:M239"/>
    <mergeCell ref="F257:G257"/>
    <mergeCell ref="F194:G194"/>
    <mergeCell ref="H194:I194"/>
    <mergeCell ref="J194:K194"/>
    <mergeCell ref="F203:G203"/>
    <mergeCell ref="H257:I257"/>
    <mergeCell ref="J257:K257"/>
    <mergeCell ref="T9:U9"/>
    <mergeCell ref="O18:Q18"/>
    <mergeCell ref="B23:D23"/>
    <mergeCell ref="B2:C2"/>
    <mergeCell ref="B4:L4"/>
    <mergeCell ref="B11:D11"/>
    <mergeCell ref="J114:K114"/>
    <mergeCell ref="B62:D62"/>
    <mergeCell ref="C65:D65"/>
    <mergeCell ref="B69:D69"/>
    <mergeCell ref="C72:D72"/>
    <mergeCell ref="B76:C76"/>
    <mergeCell ref="B50:E50"/>
    <mergeCell ref="B51:E51"/>
    <mergeCell ref="B52:D52"/>
    <mergeCell ref="B55:C55"/>
    <mergeCell ref="C58:D58"/>
    <mergeCell ref="C79:D79"/>
    <mergeCell ref="B81:D81"/>
    <mergeCell ref="J101:L101"/>
    <mergeCell ref="B84:D84"/>
    <mergeCell ref="B87:D87"/>
    <mergeCell ref="B99:D99"/>
    <mergeCell ref="B101:E101"/>
    <mergeCell ref="F103:G103"/>
    <mergeCell ref="H103:I103"/>
    <mergeCell ref="J103:K103"/>
    <mergeCell ref="F114:G114"/>
    <mergeCell ref="H114:I114"/>
    <mergeCell ref="B97:D97"/>
    <mergeCell ref="L241:M241"/>
    <mergeCell ref="B255:E255"/>
    <mergeCell ref="H203:I203"/>
    <mergeCell ref="J203:K203"/>
    <mergeCell ref="F123:G123"/>
    <mergeCell ref="H123:I123"/>
    <mergeCell ref="J123:K123"/>
    <mergeCell ref="J137:K137"/>
    <mergeCell ref="F137:G137"/>
    <mergeCell ref="H137:I137"/>
    <mergeCell ref="B181:E181"/>
    <mergeCell ref="J181:L181"/>
    <mergeCell ref="F183:G183"/>
    <mergeCell ref="H183:I183"/>
    <mergeCell ref="E241:G241"/>
    <mergeCell ref="H241:I241"/>
    <mergeCell ref="J241:K241"/>
    <mergeCell ref="J183:K183"/>
  </mergeCells>
  <hyperlinks>
    <hyperlink ref="B2" location="Tilakokonaisuus!A1" display="PALAA ETUSIVULLE" xr:uid="{2E554F28-9752-F044-B487-8FE3D4109AC3}"/>
    <hyperlink ref="B2:C2" location="'Gårdens info'!A1" display="TILL FRAMSIDAN" xr:uid="{01D9555F-1405-AB40-AF69-6A6626C92E80}"/>
    <hyperlink ref="B32" location="'Svarta vinbär'!B255" display="SKÖRDEÅRENS KOSTNADER" xr:uid="{6DDD83C5-AB91-4240-8180-B1473B2A0510}"/>
    <hyperlink ref="B43" location="'Svarta vinbär'!B301" display="RÖJNINGSÅRETS KOSTNADER" xr:uid="{1E8AABF3-0F8D-A247-BBFC-111099463B5C}"/>
    <hyperlink ref="B84" location="'Avomaan mansikka'!B41" display="PERUSTAMISVUODEN KUSTANNUKSET" xr:uid="{BFA02917-13F9-1A4F-B5FE-A3FD2EB253AC}"/>
    <hyperlink ref="B84:D84" location="'Svarta vinbär'!H176" display="ETABLERINGSÅRETS KOSTNADER" xr:uid="{E16B6EFB-C368-2F4F-B057-0DFCABAE3CCA}"/>
    <hyperlink ref="B50:E50" location="'Gårdens info'!C97" display="ALLMÄNNA KOSTNADER, svarta vinbärets andel" xr:uid="{02BA51D0-4C98-024E-B8B8-D80F810AF22D}"/>
    <hyperlink ref="B55:C55" location="Omaisuus!B15" display="RAKENNUKSET" xr:uid="{D1771E6A-ADB0-CA42-BC9C-82407E36049C}"/>
    <hyperlink ref="B62:D62" location="Omaisuus!B28" display="KONEET JA KALUSTO" xr:uid="{F1AEC7A9-9FD4-4046-BDB0-0F2955922331}"/>
    <hyperlink ref="B69:D69" location="Omaisuus!B51" display="PIDEMPIAIKAISET TUOTANTOVÄLINEET" xr:uid="{AD9AC311-FEF6-F841-9C58-7DAA70E86418}"/>
    <hyperlink ref="B76:C76" location="Omaisuus!B70" display="SALAOJAT" xr:uid="{C3D6B190-7BD5-6B4D-AC10-BE5BE0441068}"/>
    <hyperlink ref="B23" location="'Avomaan mansikka'!B41" display="PERUSTAMISVUODEN KUSTANNUKSET" xr:uid="{D8263846-B539-2F43-A514-D70E19DC201C}"/>
    <hyperlink ref="B23:D23" location="'Svarta vinbär'!B185" display="ETABLERINGSÅRETS KOSTNADER" xr:uid="{E3BA6A13-ECA2-264E-B777-666B74D5AE0C}"/>
    <hyperlink ref="B87" location="'Avomaan mansikka'!B41" display="PERUSTAMISVUODEN KUSTANNUKSET" xr:uid="{33D37527-D20C-DA4D-B558-4D8C62972A75}"/>
    <hyperlink ref="B87:D87" location="'Svarta vinbär'!H249" display="FÖRODLINGSÅRETS KOSTNADER" xr:uid="{56E5A470-1A6E-F84C-843C-FD6660F35ED7}"/>
    <hyperlink ref="B90" location="'Svarta vinbär'!H344" display="SKÖRDEÅRENS KOSTNADER" xr:uid="{F6F3ECFA-29F2-DA40-8973-5C58EE713C8D}"/>
    <hyperlink ref="B93" location="Mustaherukka!H384" display="RAIVAUSVUODEN KUSTANNUKSET" xr:uid="{2F1D1B5D-93A6-7844-8580-6C903E3BB689}"/>
    <hyperlink ref="J255" location="Mustaherukka!B2" display="PALAA SIVUN YLÄLAITAAN" xr:uid="{CF61F83C-7EC2-4C44-9105-122E1BC9CA56}"/>
    <hyperlink ref="J349:L349" location="'Svarta vinbär'!A1" display="TILL SIDANS BÖRJAN" xr:uid="{D63A5C56-A7AE-7249-A058-4C23595C1472}"/>
    <hyperlink ref="J181:L181" location="'Svarta vinbär'!A1" display="TILL SIDAN BÖRJAN" xr:uid="{641876B8-1534-B343-9055-11DD796C1912}"/>
    <hyperlink ref="J101:L101" location="'Svarta vinbär'!A1" display="TILL SIDANS BÖRJAN" xr:uid="{44FC288D-2146-5B4D-960C-9D4BCFE57CB6}"/>
    <hyperlink ref="J255:K255" location="'Svarta vinbär'!A1" display="TILL SIDANS BÖRJAN" xr:uid="{A5E56695-78D9-4A8C-BAA2-3A79EE377483}"/>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55A6-D651-A447-9649-D58E0CA0D23D}">
  <sheetPr>
    <tabColor theme="3" tint="0.59999389629810485"/>
  </sheetPr>
  <dimension ref="A1:Z432"/>
  <sheetViews>
    <sheetView topLeftCell="A4" zoomScale="80" zoomScaleNormal="80" workbookViewId="0">
      <selection activeCell="L166" sqref="L166"/>
    </sheetView>
  </sheetViews>
  <sheetFormatPr defaultColWidth="11.44140625" defaultRowHeight="13.2" x14ac:dyDescent="0.25"/>
  <cols>
    <col min="1" max="1" width="5.33203125" style="355" customWidth="1"/>
    <col min="3" max="3" width="16.6640625" customWidth="1"/>
    <col min="4" max="4" width="22.6640625" customWidth="1"/>
    <col min="5" max="5" width="12.109375" bestFit="1" customWidth="1"/>
    <col min="7" max="7" width="6.33203125" customWidth="1"/>
    <col min="9" max="9" width="6" customWidth="1"/>
    <col min="10" max="10" width="15.109375" customWidth="1"/>
    <col min="11" max="11" width="9.6640625" customWidth="1"/>
    <col min="12" max="12" width="20" customWidth="1"/>
    <col min="13" max="13" width="12.109375" customWidth="1"/>
    <col min="27" max="27" width="19" customWidth="1"/>
  </cols>
  <sheetData>
    <row r="1" spans="1:21" s="303" customFormat="1" ht="22.8" x14ac:dyDescent="0.4">
      <c r="A1" s="355"/>
      <c r="B1" s="304" t="s">
        <v>44</v>
      </c>
    </row>
    <row r="2" spans="1:21" ht="27" customHeight="1" x14ac:dyDescent="0.3">
      <c r="B2" s="1094" t="s">
        <v>201</v>
      </c>
      <c r="C2" s="1094"/>
    </row>
    <row r="3" spans="1:21" ht="27" customHeight="1" x14ac:dyDescent="0.3">
      <c r="B3" s="189"/>
      <c r="C3" s="189"/>
    </row>
    <row r="4" spans="1:21" ht="139.94999999999999" customHeight="1" x14ac:dyDescent="0.3">
      <c r="B4" s="1098" t="s">
        <v>548</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756</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16.2" thickBot="1" x14ac:dyDescent="0.35">
      <c r="B9" s="227"/>
      <c r="C9" s="228" t="s">
        <v>205</v>
      </c>
      <c r="D9" s="119"/>
      <c r="E9" s="119"/>
      <c r="F9" s="229">
        <f>IF('Gårdens info'!D33&gt;0,H9*'Gårdens info'!G33,0)</f>
        <v>0</v>
      </c>
      <c r="G9" s="119" t="s">
        <v>57</v>
      </c>
      <c r="H9" s="508">
        <f>IF('Gårdens info'!G33&gt;0,(('Gårdens info'!G33*S10*T10)+('Gårdens info'!G33*S11*T11)+('Gårdens info'!G33*S12*T12)+('Gårdens info'!G33*S13*T13)+('Gårdens info'!G33*S14*T14)+('Gårdens info'!G33*S15*T15)+('Gårdens info'!G33*S16*T16)+('Gårdens info'!G33*S17*T17))/(('Gårdens info'!G33)),0)</f>
        <v>11.93</v>
      </c>
      <c r="I9" s="119" t="s">
        <v>206</v>
      </c>
      <c r="J9" s="229">
        <f>F9*'Gårdens info'!D33</f>
        <v>0</v>
      </c>
      <c r="K9" s="119" t="s">
        <v>757</v>
      </c>
      <c r="L9" s="119"/>
      <c r="M9" s="226"/>
      <c r="N9" s="369"/>
      <c r="O9" s="230" t="s">
        <v>208</v>
      </c>
      <c r="P9" s="230"/>
      <c r="Q9" s="1145" t="s">
        <v>209</v>
      </c>
      <c r="R9" s="1145"/>
      <c r="S9" s="1145"/>
      <c r="T9" s="1086" t="s">
        <v>210</v>
      </c>
      <c r="U9" s="1087"/>
    </row>
    <row r="10" spans="1:21" ht="15.6" thickBot="1" x14ac:dyDescent="0.3">
      <c r="B10" s="227"/>
      <c r="C10" s="119" t="s">
        <v>211</v>
      </c>
      <c r="D10" s="119"/>
      <c r="E10" s="119"/>
      <c r="F10" s="229">
        <f>IF('Gårdens info'!D33&gt;0,Stöd!L15,0)</f>
        <v>0</v>
      </c>
      <c r="G10" s="119" t="s">
        <v>57</v>
      </c>
      <c r="H10" s="508">
        <f>IF('Gårdens info'!G33&gt;0,F10/'Gårdens info'!G33,0)</f>
        <v>0</v>
      </c>
      <c r="I10" s="119" t="s">
        <v>206</v>
      </c>
      <c r="J10" s="229">
        <f>F10*'Gårdens info'!D33</f>
        <v>0</v>
      </c>
      <c r="K10" s="119" t="s">
        <v>757</v>
      </c>
      <c r="L10" s="119"/>
      <c r="M10" s="226"/>
      <c r="N10" s="369"/>
      <c r="O10" s="119">
        <v>1</v>
      </c>
      <c r="P10" s="119" t="s">
        <v>212</v>
      </c>
      <c r="Q10" s="119" t="s">
        <v>556</v>
      </c>
      <c r="R10" s="119"/>
      <c r="S10" s="377">
        <v>0.2</v>
      </c>
      <c r="T10" s="255">
        <v>11</v>
      </c>
      <c r="U10" s="239" t="s">
        <v>206</v>
      </c>
    </row>
    <row r="11" spans="1:21" s="5" customFormat="1" ht="21.6" customHeight="1" thickBot="1" x14ac:dyDescent="0.45">
      <c r="A11" s="356"/>
      <c r="B11" s="1061" t="s">
        <v>214</v>
      </c>
      <c r="C11" s="1043"/>
      <c r="D11" s="1043"/>
      <c r="E11" s="262"/>
      <c r="F11" s="266">
        <f>F9+F10</f>
        <v>0</v>
      </c>
      <c r="G11" s="267" t="s">
        <v>57</v>
      </c>
      <c r="H11" s="507">
        <f>H9+H10</f>
        <v>11.93</v>
      </c>
      <c r="I11" s="267" t="s">
        <v>206</v>
      </c>
      <c r="J11" s="269">
        <f>J9+J10</f>
        <v>0</v>
      </c>
      <c r="K11" s="267" t="s">
        <v>757</v>
      </c>
      <c r="L11" s="267"/>
      <c r="M11" s="259"/>
      <c r="N11" s="370"/>
      <c r="O11" s="119">
        <v>3</v>
      </c>
      <c r="P11" s="119" t="s">
        <v>212</v>
      </c>
      <c r="Q11" s="119" t="s">
        <v>558</v>
      </c>
      <c r="R11" s="119"/>
      <c r="S11" s="379">
        <v>0</v>
      </c>
      <c r="T11" s="255"/>
      <c r="U11" s="239" t="s">
        <v>206</v>
      </c>
    </row>
    <row r="12" spans="1:21" ht="31.95" customHeight="1" thickBot="1" x14ac:dyDescent="0.35">
      <c r="B12" s="231"/>
      <c r="C12" s="225"/>
      <c r="D12" s="116"/>
      <c r="E12" s="116"/>
      <c r="F12" s="116"/>
      <c r="G12" s="116"/>
      <c r="H12" s="116"/>
      <c r="I12" s="116"/>
      <c r="J12" s="232"/>
      <c r="K12" s="116"/>
      <c r="L12" s="116"/>
      <c r="M12" s="226"/>
      <c r="N12" s="370"/>
      <c r="O12" s="119">
        <v>5</v>
      </c>
      <c r="P12" s="119" t="s">
        <v>212</v>
      </c>
      <c r="Q12" s="119" t="s">
        <v>558</v>
      </c>
      <c r="R12" s="119"/>
      <c r="S12" s="379">
        <v>0.7</v>
      </c>
      <c r="T12" s="255">
        <v>12.5</v>
      </c>
      <c r="U12" s="239" t="s">
        <v>206</v>
      </c>
    </row>
    <row r="13" spans="1:21" ht="21.6" thickBot="1" x14ac:dyDescent="0.45">
      <c r="B13" s="257" t="s">
        <v>186</v>
      </c>
      <c r="C13" s="225"/>
      <c r="D13" s="116"/>
      <c r="E13" s="116"/>
      <c r="F13" s="116"/>
      <c r="G13" s="116"/>
      <c r="H13" s="116"/>
      <c r="I13" s="116"/>
      <c r="J13" s="232"/>
      <c r="K13" s="116"/>
      <c r="L13" s="116"/>
      <c r="M13" s="226"/>
      <c r="N13" s="369"/>
      <c r="O13" s="119">
        <v>0.5</v>
      </c>
      <c r="P13" s="119" t="s">
        <v>212</v>
      </c>
      <c r="Q13" s="119" t="s">
        <v>561</v>
      </c>
      <c r="R13" s="119"/>
      <c r="S13" s="379">
        <v>0.1</v>
      </c>
      <c r="T13" s="255">
        <v>9.8000000000000007</v>
      </c>
      <c r="U13" s="239" t="s">
        <v>206</v>
      </c>
    </row>
    <row r="14" spans="1:21" s="56" customFormat="1" ht="18" thickBot="1" x14ac:dyDescent="0.35">
      <c r="A14" s="357"/>
      <c r="B14" s="1148" t="s">
        <v>564</v>
      </c>
      <c r="C14" s="1149"/>
      <c r="D14" s="1149"/>
      <c r="E14" s="120"/>
      <c r="F14" s="120"/>
      <c r="G14" s="120"/>
      <c r="H14" s="120"/>
      <c r="I14" s="120"/>
      <c r="J14" s="233"/>
      <c r="K14" s="120"/>
      <c r="L14" s="120"/>
      <c r="M14" s="234"/>
      <c r="N14" s="369"/>
      <c r="O14" s="119">
        <v>0.25</v>
      </c>
      <c r="P14" s="119" t="s">
        <v>212</v>
      </c>
      <c r="Q14" s="119" t="s">
        <v>561</v>
      </c>
      <c r="R14" s="119"/>
      <c r="S14" s="379">
        <v>0</v>
      </c>
      <c r="T14" s="255"/>
      <c r="U14" s="239" t="s">
        <v>206</v>
      </c>
    </row>
    <row r="15" spans="1:21" s="69" customFormat="1" ht="15.6" thickBot="1" x14ac:dyDescent="0.3">
      <c r="A15" s="358"/>
      <c r="B15" s="235"/>
      <c r="C15" s="228" t="s">
        <v>566</v>
      </c>
      <c r="D15" s="236"/>
      <c r="E15" s="236"/>
      <c r="F15" s="237">
        <f>IF('Gårdens info'!$D$33&gt;0,J114/'Gårdens info'!$I$33,0)</f>
        <v>0</v>
      </c>
      <c r="G15" s="119" t="s">
        <v>57</v>
      </c>
      <c r="H15" s="503">
        <f>IF('Gårdens info'!$G$33&gt;0,F15/'Gårdens info'!$G$33,0)</f>
        <v>0</v>
      </c>
      <c r="I15" s="119" t="s">
        <v>206</v>
      </c>
      <c r="J15" s="237">
        <f>F15*'Gårdens info'!$D$33</f>
        <v>0</v>
      </c>
      <c r="K15" s="119" t="s">
        <v>757</v>
      </c>
      <c r="L15" s="236"/>
      <c r="M15" s="239"/>
      <c r="N15" s="369"/>
      <c r="O15" s="651">
        <f>D328</f>
        <v>0</v>
      </c>
      <c r="P15" s="119" t="s">
        <v>212</v>
      </c>
      <c r="Q15" s="298" t="s">
        <v>511</v>
      </c>
      <c r="R15" s="119"/>
      <c r="S15" s="379">
        <v>0</v>
      </c>
      <c r="T15" s="255"/>
      <c r="U15" s="239" t="s">
        <v>206</v>
      </c>
    </row>
    <row r="16" spans="1:21" s="69" customFormat="1" ht="15.6" thickBot="1" x14ac:dyDescent="0.3">
      <c r="A16" s="358"/>
      <c r="B16" s="235"/>
      <c r="C16" s="228" t="s">
        <v>219</v>
      </c>
      <c r="D16" s="236"/>
      <c r="E16" s="236"/>
      <c r="F16" s="237">
        <f>IF('Gårdens info'!$D$33&gt;0,J123/'Gårdens info'!$I$33,0)</f>
        <v>0</v>
      </c>
      <c r="G16" s="119" t="s">
        <v>57</v>
      </c>
      <c r="H16" s="503">
        <f>IF('Gårdens info'!$G$33&gt;0,F16/'Gårdens info'!$G$33,0)</f>
        <v>0</v>
      </c>
      <c r="I16" s="119" t="s">
        <v>206</v>
      </c>
      <c r="J16" s="237">
        <f>F16*'Gårdens info'!$D$33</f>
        <v>0</v>
      </c>
      <c r="K16" s="119" t="s">
        <v>757</v>
      </c>
      <c r="L16" s="236"/>
      <c r="M16" s="239"/>
      <c r="N16" s="369"/>
      <c r="O16" s="651">
        <f t="shared" ref="O16:O17" si="0">D329</f>
        <v>0</v>
      </c>
      <c r="P16" s="119" t="s">
        <v>212</v>
      </c>
      <c r="Q16" s="298" t="s">
        <v>511</v>
      </c>
      <c r="R16" s="119"/>
      <c r="S16" s="378">
        <v>0</v>
      </c>
      <c r="T16" s="255"/>
      <c r="U16" s="239" t="s">
        <v>206</v>
      </c>
    </row>
    <row r="17" spans="1:26" s="69" customFormat="1" ht="15.6" thickBot="1" x14ac:dyDescent="0.3">
      <c r="A17" s="358"/>
      <c r="B17" s="235"/>
      <c r="C17" s="228" t="s">
        <v>719</v>
      </c>
      <c r="D17" s="236"/>
      <c r="E17" s="236"/>
      <c r="F17" s="237">
        <f>IF('Gårdens info'!$D$33&gt;0,J137/'Gårdens info'!$I$33,0)</f>
        <v>0</v>
      </c>
      <c r="G17" s="119" t="s">
        <v>57</v>
      </c>
      <c r="H17" s="503">
        <f>IF('Gårdens info'!$G$33&gt;0,F17/'Gårdens info'!$G$33,0)</f>
        <v>0</v>
      </c>
      <c r="I17" s="119" t="s">
        <v>206</v>
      </c>
      <c r="J17" s="237">
        <f>F17*'Gårdens info'!$D$33</f>
        <v>0</v>
      </c>
      <c r="K17" s="119" t="s">
        <v>757</v>
      </c>
      <c r="L17" s="236"/>
      <c r="M17" s="239"/>
      <c r="N17" s="369"/>
      <c r="O17" s="651">
        <f t="shared" si="0"/>
        <v>0</v>
      </c>
      <c r="P17" s="119" t="s">
        <v>212</v>
      </c>
      <c r="Q17" s="298" t="s">
        <v>511</v>
      </c>
      <c r="R17" s="119"/>
      <c r="S17" s="378">
        <v>0</v>
      </c>
      <c r="T17" s="255"/>
      <c r="U17" s="239" t="s">
        <v>206</v>
      </c>
    </row>
    <row r="18" spans="1:26" s="69" customFormat="1" ht="17.399999999999999" x14ac:dyDescent="0.3">
      <c r="A18" s="358"/>
      <c r="B18" s="235"/>
      <c r="C18" s="228" t="s">
        <v>568</v>
      </c>
      <c r="D18" s="236"/>
      <c r="E18" s="236"/>
      <c r="F18" s="237">
        <f>IF('Gårdens info'!$D$33&gt;0,J145/'Gårdens info'!$I$33,0)</f>
        <v>0</v>
      </c>
      <c r="G18" s="119" t="s">
        <v>57</v>
      </c>
      <c r="H18" s="503">
        <f>IF('Gårdens info'!$G$33&gt;0,F18/'Gårdens info'!$G$33,0)</f>
        <v>0</v>
      </c>
      <c r="I18" s="119" t="s">
        <v>206</v>
      </c>
      <c r="J18" s="237">
        <f>F18*'Gårdens info'!$D$33</f>
        <v>0</v>
      </c>
      <c r="K18" s="119" t="s">
        <v>757</v>
      </c>
      <c r="L18" s="236"/>
      <c r="M18" s="239"/>
      <c r="N18" s="371"/>
      <c r="O18" s="1088" t="s">
        <v>54</v>
      </c>
      <c r="P18" s="1088"/>
      <c r="Q18" s="1088"/>
      <c r="R18" s="120"/>
      <c r="S18" s="375">
        <f>SUM(S10:S17)</f>
        <v>0.99999999999999989</v>
      </c>
      <c r="T18" s="120"/>
      <c r="U18" s="234"/>
    </row>
    <row r="19" spans="1:26" s="69" customFormat="1" ht="15.6" x14ac:dyDescent="0.3">
      <c r="A19" s="358"/>
      <c r="B19" s="235"/>
      <c r="C19" s="228" t="s">
        <v>224</v>
      </c>
      <c r="D19" s="236"/>
      <c r="E19" s="236"/>
      <c r="F19" s="237">
        <f>IF('Gårdens info'!$D$33&gt;0,J157/'Gårdens info'!$I$33,0)</f>
        <v>0</v>
      </c>
      <c r="G19" s="119" t="s">
        <v>57</v>
      </c>
      <c r="H19" s="503">
        <f>IF('Gårdens info'!$G$33&gt;0,F19/'Gårdens info'!$G$33,0)</f>
        <v>0</v>
      </c>
      <c r="I19" s="119" t="s">
        <v>206</v>
      </c>
      <c r="J19" s="237">
        <f>F19*'Gårdens info'!$D$33</f>
        <v>0</v>
      </c>
      <c r="K19" s="119" t="s">
        <v>757</v>
      </c>
      <c r="L19" s="236"/>
      <c r="M19" s="239"/>
      <c r="N19" s="227"/>
      <c r="O19" s="376" t="str">
        <f>IF(S18=100%," ","HUOM! Osuus myyynneistä pitää summautua 100 prosenttiin")</f>
        <v xml:space="preserve"> </v>
      </c>
      <c r="P19" s="119"/>
      <c r="R19" s="119"/>
      <c r="S19" s="119"/>
      <c r="T19" s="119"/>
      <c r="U19" s="239"/>
    </row>
    <row r="20" spans="1:26" s="69" customFormat="1" ht="15.6" thickBot="1" x14ac:dyDescent="0.3">
      <c r="A20" s="358"/>
      <c r="B20" s="235"/>
      <c r="C20" s="228" t="s">
        <v>570</v>
      </c>
      <c r="D20" s="236"/>
      <c r="E20" s="236"/>
      <c r="F20" s="237">
        <f>IF('Gårdens info'!$D$33&gt;0,L181/'Gårdens info'!$I$33,0)</f>
        <v>0</v>
      </c>
      <c r="G20" s="119" t="s">
        <v>57</v>
      </c>
      <c r="H20" s="503">
        <f>IF('Gårdens info'!$G$33&gt;0,F20/'Gårdens info'!$G$33,0)</f>
        <v>0</v>
      </c>
      <c r="I20" s="119" t="s">
        <v>206</v>
      </c>
      <c r="J20" s="237">
        <f>F20*'Gårdens info'!$D$33</f>
        <v>0</v>
      </c>
      <c r="K20" s="119" t="s">
        <v>757</v>
      </c>
      <c r="L20" s="236"/>
      <c r="M20" s="239"/>
      <c r="N20" s="372"/>
      <c r="O20" s="373"/>
      <c r="P20" s="373"/>
      <c r="Q20" s="373"/>
      <c r="R20" s="373"/>
      <c r="S20" s="373"/>
      <c r="T20" s="373"/>
      <c r="U20" s="374"/>
    </row>
    <row r="21" spans="1:26" s="69" customFormat="1" ht="15.6" x14ac:dyDescent="0.3">
      <c r="A21" s="358"/>
      <c r="B21" s="235"/>
      <c r="C21" s="240" t="s">
        <v>54</v>
      </c>
      <c r="D21" s="241"/>
      <c r="E21" s="241"/>
      <c r="F21" s="242">
        <f>SUM(F15:F20)</f>
        <v>0</v>
      </c>
      <c r="G21" s="243" t="s">
        <v>57</v>
      </c>
      <c r="H21" s="504">
        <f>SUM(H15:H20)</f>
        <v>0</v>
      </c>
      <c r="I21" s="243" t="s">
        <v>206</v>
      </c>
      <c r="J21" s="242">
        <f>SUM(J15:J20)</f>
        <v>0</v>
      </c>
      <c r="K21" s="243" t="s">
        <v>757</v>
      </c>
      <c r="L21" s="241"/>
      <c r="M21" s="239"/>
    </row>
    <row r="22" spans="1:26" ht="17.399999999999999" x14ac:dyDescent="0.3">
      <c r="B22" s="231"/>
      <c r="C22" s="245"/>
      <c r="D22" s="246"/>
      <c r="E22" s="246"/>
      <c r="F22" s="247"/>
      <c r="G22" s="119"/>
      <c r="H22" s="246"/>
      <c r="I22" s="246"/>
      <c r="J22" s="246"/>
      <c r="K22" s="246"/>
      <c r="L22" s="246"/>
      <c r="M22" s="226"/>
      <c r="N22" s="69"/>
      <c r="O22" s="69"/>
      <c r="P22" s="69"/>
      <c r="Q22" s="69"/>
      <c r="R22" s="69"/>
      <c r="S22" s="69"/>
      <c r="T22" s="69"/>
      <c r="U22" s="69"/>
    </row>
    <row r="23" spans="1:26" s="56" customFormat="1" ht="17.399999999999999" x14ac:dyDescent="0.3">
      <c r="A23" s="357"/>
      <c r="B23" s="1148" t="s">
        <v>758</v>
      </c>
      <c r="C23" s="1149"/>
      <c r="D23" s="1149"/>
      <c r="E23" s="120"/>
      <c r="F23" s="120"/>
      <c r="G23" s="120"/>
      <c r="H23" s="120"/>
      <c r="I23" s="120"/>
      <c r="J23" s="233"/>
      <c r="K23" s="120"/>
      <c r="L23" s="120"/>
      <c r="M23" s="234"/>
      <c r="N23"/>
      <c r="O23"/>
      <c r="P23"/>
      <c r="Q23"/>
      <c r="R23"/>
      <c r="S23"/>
      <c r="T23"/>
      <c r="U23"/>
    </row>
    <row r="24" spans="1:26" s="69" customFormat="1" ht="17.399999999999999" x14ac:dyDescent="0.3">
      <c r="A24" s="358"/>
      <c r="B24" s="235"/>
      <c r="C24" s="228" t="s">
        <v>566</v>
      </c>
      <c r="D24" s="236"/>
      <c r="E24" s="236"/>
      <c r="F24" s="237">
        <f>IF('Gårdens info'!$D$33&gt;0,J193*'Gårdens info'!K33/'Gårdens info'!$I$33,0)</f>
        <v>0</v>
      </c>
      <c r="G24" s="119" t="s">
        <v>57</v>
      </c>
      <c r="H24" s="503">
        <f>IF('Gårdens info'!$G$33&gt;0,F24/'Gårdens info'!$G$33,0)</f>
        <v>0</v>
      </c>
      <c r="I24" s="119" t="s">
        <v>206</v>
      </c>
      <c r="J24" s="237">
        <f>F24*'Gårdens info'!$D$33</f>
        <v>0</v>
      </c>
      <c r="K24" s="119" t="s">
        <v>757</v>
      </c>
      <c r="L24" s="236"/>
      <c r="M24" s="239"/>
      <c r="N24" s="56"/>
      <c r="O24" s="56"/>
      <c r="P24" s="56"/>
      <c r="Q24" s="56"/>
      <c r="R24" s="56"/>
      <c r="S24" s="56"/>
      <c r="T24" s="56"/>
      <c r="U24" s="56"/>
    </row>
    <row r="25" spans="1:26" s="69" customFormat="1" ht="15" x14ac:dyDescent="0.25">
      <c r="A25" s="358"/>
      <c r="B25" s="235"/>
      <c r="C25" s="228" t="s">
        <v>219</v>
      </c>
      <c r="D25" s="236"/>
      <c r="E25" s="236"/>
      <c r="F25" s="237">
        <f>IF('Gårdens info'!$D$33&gt;0,J202*'Gårdens info'!K33/'Gårdens info'!$I$33,0)</f>
        <v>0</v>
      </c>
      <c r="G25" s="119" t="s">
        <v>57</v>
      </c>
      <c r="H25" s="503">
        <f>IF('Gårdens info'!$G$33&gt;0,F25/'Gårdens info'!$G$33,0)</f>
        <v>0</v>
      </c>
      <c r="I25" s="119" t="s">
        <v>206</v>
      </c>
      <c r="J25" s="237">
        <f>F25*'Gårdens info'!$D$33</f>
        <v>0</v>
      </c>
      <c r="K25" s="119" t="s">
        <v>757</v>
      </c>
      <c r="L25" s="236"/>
      <c r="M25" s="239"/>
    </row>
    <row r="26" spans="1:26" s="69" customFormat="1" ht="15" x14ac:dyDescent="0.25">
      <c r="A26" s="358"/>
      <c r="B26" s="235"/>
      <c r="C26" s="228" t="s">
        <v>404</v>
      </c>
      <c r="D26" s="236"/>
      <c r="E26" s="236"/>
      <c r="F26" s="237">
        <f>IF('Gårdens info'!$D$33&gt;0,J216*'Gårdens info'!K33/'Gårdens info'!$I$33,0)</f>
        <v>0</v>
      </c>
      <c r="G26" s="119" t="s">
        <v>57</v>
      </c>
      <c r="H26" s="503">
        <f>IF('Gårdens info'!$G$33&gt;0,F26/'Gårdens info'!$G$33,0)</f>
        <v>0</v>
      </c>
      <c r="I26" s="119" t="s">
        <v>206</v>
      </c>
      <c r="J26" s="237">
        <f>F26*'Gårdens info'!$D$33</f>
        <v>0</v>
      </c>
      <c r="K26" s="119" t="s">
        <v>757</v>
      </c>
      <c r="L26" s="236"/>
      <c r="M26" s="239"/>
    </row>
    <row r="27" spans="1:26" s="69" customFormat="1" ht="15" x14ac:dyDescent="0.25">
      <c r="A27" s="358"/>
      <c r="B27" s="235"/>
      <c r="C27" s="228" t="s">
        <v>574</v>
      </c>
      <c r="D27" s="236"/>
      <c r="E27" s="236"/>
      <c r="F27" s="237">
        <f>IF('Gårdens info'!$D$33&gt;0,J224*'Gårdens info'!K33/'Gårdens info'!$I$33,0)</f>
        <v>0</v>
      </c>
      <c r="G27" s="119" t="s">
        <v>57</v>
      </c>
      <c r="H27" s="503">
        <f>IF('Gårdens info'!$G$33&gt;0,F27/'Gårdens info'!$G$33,0)</f>
        <v>0</v>
      </c>
      <c r="I27" s="119" t="s">
        <v>206</v>
      </c>
      <c r="J27" s="237">
        <f>F27*'Gårdens info'!$D$33</f>
        <v>0</v>
      </c>
      <c r="K27" s="119" t="s">
        <v>757</v>
      </c>
      <c r="L27" s="236"/>
      <c r="M27" s="239"/>
    </row>
    <row r="28" spans="1:26" s="69" customFormat="1" ht="15" x14ac:dyDescent="0.25">
      <c r="A28" s="358"/>
      <c r="B28" s="235"/>
      <c r="C28" s="228" t="s">
        <v>575</v>
      </c>
      <c r="D28" s="236"/>
      <c r="E28" s="236"/>
      <c r="F28" s="237">
        <f>IF('Gårdens info'!$D$33&gt;0,J237*'Gårdens info'!K33/'Gårdens info'!$I$33,0)</f>
        <v>0</v>
      </c>
      <c r="G28" s="119" t="s">
        <v>57</v>
      </c>
      <c r="H28" s="503">
        <f>IF('Gårdens info'!$G$33&gt;0,F28/'Gårdens info'!$G$33,0)</f>
        <v>0</v>
      </c>
      <c r="I28" s="119" t="s">
        <v>206</v>
      </c>
      <c r="J28" s="237">
        <f>F28*'Gårdens info'!$D$33</f>
        <v>0</v>
      </c>
      <c r="K28" s="119" t="s">
        <v>757</v>
      </c>
      <c r="L28" s="236"/>
      <c r="M28" s="239"/>
    </row>
    <row r="29" spans="1:26" s="69" customFormat="1" ht="15" x14ac:dyDescent="0.25">
      <c r="A29" s="358"/>
      <c r="B29" s="235"/>
      <c r="C29" s="228" t="s">
        <v>576</v>
      </c>
      <c r="D29" s="236"/>
      <c r="E29" s="236"/>
      <c r="F29" s="237">
        <f>IF('Gårdens info'!$D$33&gt;0,J245*'Gårdens info'!K33/'Gårdens info'!$I$33,0)</f>
        <v>0</v>
      </c>
      <c r="G29" s="119" t="s">
        <v>57</v>
      </c>
      <c r="H29" s="503">
        <f>IF('Gårdens info'!$G$33&gt;0,F29/'Gårdens info'!$G$33,0)</f>
        <v>0</v>
      </c>
      <c r="I29" s="119" t="s">
        <v>206</v>
      </c>
      <c r="J29" s="237">
        <f>F29*'Gårdens info'!$D$33</f>
        <v>0</v>
      </c>
      <c r="K29" s="119" t="s">
        <v>757</v>
      </c>
      <c r="L29" s="236"/>
      <c r="M29" s="239"/>
    </row>
    <row r="30" spans="1:26" s="69" customFormat="1" ht="15" x14ac:dyDescent="0.25">
      <c r="A30" s="358"/>
      <c r="B30" s="235"/>
      <c r="C30" s="228" t="s">
        <v>568</v>
      </c>
      <c r="D30" s="236"/>
      <c r="E30" s="236"/>
      <c r="F30" s="237">
        <f>IF('Gårdens info'!$D$33&gt;0,J253*'Gårdens info'!K33/'Gårdens info'!$I$33,0)</f>
        <v>0</v>
      </c>
      <c r="G30" s="119" t="s">
        <v>57</v>
      </c>
      <c r="H30" s="503">
        <f>IF('Gårdens info'!$G$33&gt;0,F30/'Gårdens info'!$G$33,0)</f>
        <v>0</v>
      </c>
      <c r="I30" s="119" t="s">
        <v>206</v>
      </c>
      <c r="J30" s="237">
        <f>F30*'Gårdens info'!$D$33</f>
        <v>0</v>
      </c>
      <c r="K30" s="119" t="s">
        <v>757</v>
      </c>
      <c r="L30" s="236"/>
      <c r="M30" s="239"/>
      <c r="Y30" s="446" t="str">
        <f t="shared" ref="Y30:Y37" si="1">C25</f>
        <v>Gödsel och kalk</v>
      </c>
      <c r="Z30" s="447">
        <f>F36</f>
        <v>0</v>
      </c>
    </row>
    <row r="31" spans="1:26" s="69" customFormat="1" ht="15" x14ac:dyDescent="0.25">
      <c r="A31" s="358"/>
      <c r="B31" s="235"/>
      <c r="C31" s="228" t="s">
        <v>224</v>
      </c>
      <c r="D31" s="236"/>
      <c r="E31" s="236"/>
      <c r="F31" s="237">
        <f>IF('Gårdens info'!$D$33&gt;0,J265*'Gårdens info'!K33/'Gårdens info'!$I$33,0)</f>
        <v>0</v>
      </c>
      <c r="G31" s="119" t="s">
        <v>57</v>
      </c>
      <c r="H31" s="503">
        <f>IF('Gårdens info'!$G$33&gt;0,F31/'Gårdens info'!$G$33,0)</f>
        <v>0</v>
      </c>
      <c r="I31" s="119" t="s">
        <v>206</v>
      </c>
      <c r="J31" s="237">
        <f>F31*'Gårdens info'!$D$33</f>
        <v>0</v>
      </c>
      <c r="K31" s="119" t="s">
        <v>757</v>
      </c>
      <c r="L31" s="236"/>
      <c r="M31" s="239"/>
      <c r="Y31" s="446" t="str">
        <f t="shared" si="1"/>
        <v>IPM växtskydd</v>
      </c>
      <c r="Z31" s="447">
        <f t="shared" ref="Z31:Z37" si="2">F37</f>
        <v>0</v>
      </c>
    </row>
    <row r="32" spans="1:26" s="69" customFormat="1" ht="15" x14ac:dyDescent="0.25">
      <c r="A32" s="358"/>
      <c r="B32" s="235"/>
      <c r="C32" s="228" t="s">
        <v>570</v>
      </c>
      <c r="D32" s="236"/>
      <c r="E32" s="236"/>
      <c r="F32" s="237">
        <f>IF('Gårdens info'!$D$33&gt;0,L286*'Gårdens info'!K33/'Gårdens info'!$I$33,0)</f>
        <v>0</v>
      </c>
      <c r="G32" s="119" t="s">
        <v>57</v>
      </c>
      <c r="H32" s="503">
        <f>IF('Gårdens info'!$G$33&gt;0,F32/'Gårdens info'!$G$33,0)</f>
        <v>0</v>
      </c>
      <c r="I32" s="119" t="s">
        <v>206</v>
      </c>
      <c r="J32" s="237">
        <f>F32*'Gårdens info'!$D$33</f>
        <v>0</v>
      </c>
      <c r="K32" s="119" t="s">
        <v>757</v>
      </c>
      <c r="L32" s="236"/>
      <c r="M32" s="239"/>
      <c r="Y32" s="446" t="str">
        <f t="shared" si="1"/>
        <v>Pollinering</v>
      </c>
      <c r="Z32" s="447">
        <f t="shared" si="2"/>
        <v>0</v>
      </c>
    </row>
    <row r="33" spans="1:26" s="69" customFormat="1" ht="15.6" x14ac:dyDescent="0.3">
      <c r="A33" s="358"/>
      <c r="B33" s="235"/>
      <c r="C33" s="240" t="s">
        <v>54</v>
      </c>
      <c r="D33" s="241"/>
      <c r="E33" s="241"/>
      <c r="F33" s="242">
        <f>SUM(F24:F32)</f>
        <v>0</v>
      </c>
      <c r="G33" s="243" t="s">
        <v>57</v>
      </c>
      <c r="H33" s="504">
        <f>SUM(H24:H32)</f>
        <v>0</v>
      </c>
      <c r="I33" s="243" t="s">
        <v>206</v>
      </c>
      <c r="J33" s="242">
        <f>SUM(J24:J32)</f>
        <v>0</v>
      </c>
      <c r="K33" s="243" t="s">
        <v>757</v>
      </c>
      <c r="L33" s="241"/>
      <c r="M33" s="239"/>
      <c r="Y33" s="446" t="str">
        <f t="shared" si="1"/>
        <v>Förpackningsmaterial</v>
      </c>
      <c r="Z33" s="447">
        <f t="shared" si="2"/>
        <v>0</v>
      </c>
    </row>
    <row r="34" spans="1:26" ht="17.399999999999999" x14ac:dyDescent="0.3">
      <c r="B34" s="231"/>
      <c r="C34" s="245"/>
      <c r="D34" s="246"/>
      <c r="E34" s="246"/>
      <c r="F34" s="247"/>
      <c r="G34" s="119"/>
      <c r="H34" s="246"/>
      <c r="I34" s="246"/>
      <c r="J34" s="246"/>
      <c r="K34" s="246"/>
      <c r="L34" s="246"/>
      <c r="M34" s="226"/>
      <c r="N34" s="69"/>
      <c r="O34" s="69"/>
      <c r="P34" s="69"/>
      <c r="Q34" s="69"/>
      <c r="R34" s="69"/>
      <c r="S34" s="69"/>
      <c r="T34" s="69"/>
      <c r="U34" s="69"/>
      <c r="Y34" s="446" t="str">
        <f t="shared" si="1"/>
        <v>Frakt av produkter</v>
      </c>
      <c r="Z34" s="447">
        <f t="shared" si="2"/>
        <v>0</v>
      </c>
    </row>
    <row r="35" spans="1:26" s="56" customFormat="1" ht="17.399999999999999" x14ac:dyDescent="0.3">
      <c r="A35" s="357"/>
      <c r="B35" s="248" t="s">
        <v>240</v>
      </c>
      <c r="C35" s="245"/>
      <c r="D35" s="249"/>
      <c r="E35" s="249"/>
      <c r="F35" s="250"/>
      <c r="G35" s="120"/>
      <c r="H35" s="249"/>
      <c r="I35" s="249"/>
      <c r="J35" s="249"/>
      <c r="K35" s="249"/>
      <c r="L35" s="249"/>
      <c r="M35" s="234"/>
      <c r="N35"/>
      <c r="O35"/>
      <c r="P35"/>
      <c r="Q35"/>
      <c r="R35"/>
      <c r="S35"/>
      <c r="T35"/>
      <c r="U35"/>
      <c r="Y35" s="446" t="str">
        <f t="shared" si="1"/>
        <v>Maskinhyra och entreprenad</v>
      </c>
      <c r="Z35" s="447">
        <f t="shared" si="2"/>
        <v>0</v>
      </c>
    </row>
    <row r="36" spans="1:26" s="69" customFormat="1" ht="17.399999999999999" x14ac:dyDescent="0.3">
      <c r="A36" s="358"/>
      <c r="B36" s="235"/>
      <c r="C36" s="228" t="s">
        <v>219</v>
      </c>
      <c r="D36" s="236"/>
      <c r="E36" s="236"/>
      <c r="F36" s="237">
        <f>IF('Gårdens info'!D33&gt;0,J296,0)</f>
        <v>0</v>
      </c>
      <c r="G36" s="119" t="s">
        <v>57</v>
      </c>
      <c r="H36" s="503">
        <f>IF('Gårdens info'!$G$33&gt;0,F36/'Gårdens info'!$G$33,0)</f>
        <v>0</v>
      </c>
      <c r="I36" s="119" t="s">
        <v>206</v>
      </c>
      <c r="J36" s="237">
        <f>F36*'Gårdens info'!$D$33</f>
        <v>0</v>
      </c>
      <c r="K36" s="119" t="s">
        <v>757</v>
      </c>
      <c r="L36" s="236"/>
      <c r="M36" s="239"/>
      <c r="N36" s="56"/>
      <c r="O36" s="56"/>
      <c r="P36" s="56"/>
      <c r="Q36" s="56"/>
      <c r="R36" s="56"/>
      <c r="S36" s="56"/>
      <c r="T36" s="56"/>
      <c r="U36" s="56"/>
      <c r="Y36" s="446" t="str">
        <f t="shared" si="1"/>
        <v>Energikostnader</v>
      </c>
      <c r="Z36" s="447">
        <f t="shared" si="2"/>
        <v>0</v>
      </c>
    </row>
    <row r="37" spans="1:26" s="69" customFormat="1" ht="15" x14ac:dyDescent="0.25">
      <c r="A37" s="358"/>
      <c r="B37" s="235"/>
      <c r="C37" s="228" t="s">
        <v>220</v>
      </c>
      <c r="D37" s="236"/>
      <c r="E37" s="236"/>
      <c r="F37" s="237">
        <f>IF('Gårdens info'!D33&gt;0,J310,0)</f>
        <v>0</v>
      </c>
      <c r="G37" s="119" t="s">
        <v>57</v>
      </c>
      <c r="H37" s="503">
        <f>IF('Gårdens info'!$G$33&gt;0,F37/'Gårdens info'!$G$33,0)</f>
        <v>0</v>
      </c>
      <c r="I37" s="119" t="s">
        <v>206</v>
      </c>
      <c r="J37" s="237">
        <f>F37*'Gårdens info'!$D$33</f>
        <v>0</v>
      </c>
      <c r="K37" s="119" t="s">
        <v>757</v>
      </c>
      <c r="L37" s="236"/>
      <c r="M37" s="239"/>
      <c r="Y37" s="446" t="str">
        <f t="shared" si="1"/>
        <v>Anställd personal</v>
      </c>
      <c r="Z37" s="447">
        <f t="shared" si="2"/>
        <v>0</v>
      </c>
    </row>
    <row r="38" spans="1:26" s="69" customFormat="1" ht="15" x14ac:dyDescent="0.25">
      <c r="A38" s="358"/>
      <c r="B38" s="235"/>
      <c r="C38" s="228" t="s">
        <v>574</v>
      </c>
      <c r="D38" s="236"/>
      <c r="E38" s="236"/>
      <c r="F38" s="237">
        <f>IF('Gårdens info'!D33&gt;0,J318,0)</f>
        <v>0</v>
      </c>
      <c r="G38" s="119" t="s">
        <v>57</v>
      </c>
      <c r="H38" s="503">
        <f>IF('Gårdens info'!$G$33&gt;0,F38/'Gårdens info'!$G$33,0)</f>
        <v>0</v>
      </c>
      <c r="I38" s="119" t="s">
        <v>206</v>
      </c>
      <c r="J38" s="237">
        <f>F38*'Gårdens info'!$D$33</f>
        <v>0</v>
      </c>
      <c r="K38" s="119" t="s">
        <v>757</v>
      </c>
      <c r="L38" s="236"/>
      <c r="M38" s="239"/>
      <c r="Y38" s="382" t="str">
        <f>B53</f>
        <v>ALLMÄNNA KOSTNADER, buskblåbärens andel</v>
      </c>
      <c r="Z38" s="450">
        <f>F53</f>
        <v>0</v>
      </c>
    </row>
    <row r="39" spans="1:26" s="69" customFormat="1" ht="15" x14ac:dyDescent="0.25">
      <c r="A39" s="358"/>
      <c r="B39" s="235"/>
      <c r="C39" s="228" t="s">
        <v>575</v>
      </c>
      <c r="D39" s="236"/>
      <c r="E39" s="236"/>
      <c r="F39" s="237">
        <f>IF('Gårdens info'!D33&gt;0,J331,0)</f>
        <v>0</v>
      </c>
      <c r="G39" s="119" t="s">
        <v>57</v>
      </c>
      <c r="H39" s="503">
        <f>IF('Gårdens info'!$G$33&gt;0,F39/'Gårdens info'!$G$33,0)</f>
        <v>0</v>
      </c>
      <c r="I39" s="119" t="s">
        <v>206</v>
      </c>
      <c r="J39" s="237">
        <f>F39*'Gårdens info'!$D$33</f>
        <v>0</v>
      </c>
      <c r="K39" s="119" t="s">
        <v>757</v>
      </c>
      <c r="L39" s="236"/>
      <c r="M39" s="239"/>
      <c r="Y39" s="382" t="str">
        <f>B54</f>
        <v>HYRESKOSTNADER ÅKER, buskblåbärens andel</v>
      </c>
      <c r="Z39" s="450">
        <f>F54</f>
        <v>0</v>
      </c>
    </row>
    <row r="40" spans="1:26" s="69" customFormat="1" ht="15" x14ac:dyDescent="0.25">
      <c r="A40" s="358"/>
      <c r="B40" s="235"/>
      <c r="C40" s="228" t="s">
        <v>576</v>
      </c>
      <c r="D40" s="236"/>
      <c r="E40" s="236"/>
      <c r="F40" s="237">
        <f>IF('Gårdens info'!D33&gt;0,J339,0)</f>
        <v>0</v>
      </c>
      <c r="G40" s="119" t="s">
        <v>57</v>
      </c>
      <c r="H40" s="503">
        <f>IF('Gårdens info'!$G$33&gt;0,F40/'Gårdens info'!$G$33,0)</f>
        <v>0</v>
      </c>
      <c r="I40" s="119" t="s">
        <v>206</v>
      </c>
      <c r="J40" s="237">
        <f>F40*'Gårdens info'!$D$33</f>
        <v>0</v>
      </c>
      <c r="K40" s="119" t="s">
        <v>757</v>
      </c>
      <c r="L40" s="236"/>
      <c r="M40" s="239"/>
      <c r="Y40" s="382" t="str">
        <f>B58</f>
        <v>BYGGNADER</v>
      </c>
      <c r="Z40" s="451">
        <f>F63</f>
        <v>0</v>
      </c>
    </row>
    <row r="41" spans="1:26" s="69" customFormat="1" ht="15" x14ac:dyDescent="0.25">
      <c r="A41" s="358"/>
      <c r="B41" s="235"/>
      <c r="C41" s="228" t="s">
        <v>568</v>
      </c>
      <c r="D41" s="236"/>
      <c r="E41" s="236"/>
      <c r="F41" s="237">
        <f>IF('Gårdens info'!D33&gt;0,J347,0)</f>
        <v>0</v>
      </c>
      <c r="G41" s="119" t="s">
        <v>57</v>
      </c>
      <c r="H41" s="503">
        <f>IF('Gårdens info'!$G$33&gt;0,F41/'Gårdens info'!$G$33,0)</f>
        <v>0</v>
      </c>
      <c r="I41" s="119" t="s">
        <v>206</v>
      </c>
      <c r="J41" s="237">
        <f>F41*'Gårdens info'!$D$33</f>
        <v>0</v>
      </c>
      <c r="K41" s="119" t="s">
        <v>757</v>
      </c>
      <c r="L41" s="236"/>
      <c r="M41" s="239"/>
      <c r="Y41" s="382" t="str">
        <f>B65</f>
        <v>MASKINER OCH UTRUSTNING</v>
      </c>
      <c r="Z41" s="451">
        <f>F70</f>
        <v>0</v>
      </c>
    </row>
    <row r="42" spans="1:26" s="69" customFormat="1" ht="15" x14ac:dyDescent="0.25">
      <c r="A42" s="358"/>
      <c r="B42" s="235"/>
      <c r="C42" s="228" t="s">
        <v>224</v>
      </c>
      <c r="D42" s="236"/>
      <c r="E42" s="236"/>
      <c r="F42" s="237">
        <f>IF('Gårdens info'!D33&gt;0,J359,0)</f>
        <v>0</v>
      </c>
      <c r="G42" s="119" t="s">
        <v>57</v>
      </c>
      <c r="H42" s="503">
        <f>IF('Gårdens info'!$G$33&gt;0,F42/'Gårdens info'!$G$33,0)</f>
        <v>0</v>
      </c>
      <c r="I42" s="119" t="s">
        <v>206</v>
      </c>
      <c r="J42" s="237">
        <f>F42*'Gårdens info'!$D$33</f>
        <v>0</v>
      </c>
      <c r="K42" s="119" t="s">
        <v>757</v>
      </c>
      <c r="L42" s="236"/>
      <c r="M42" s="239"/>
      <c r="Y42" s="382" t="str">
        <f>B72</f>
        <v>LÅNGVARIGA PRODUKTIONSMEDEL</v>
      </c>
      <c r="Z42" s="451">
        <f>F77</f>
        <v>0</v>
      </c>
    </row>
    <row r="43" spans="1:26" s="69" customFormat="1" ht="15" x14ac:dyDescent="0.25">
      <c r="A43" s="358"/>
      <c r="B43" s="235"/>
      <c r="C43" s="228" t="s">
        <v>570</v>
      </c>
      <c r="D43" s="236"/>
      <c r="E43" s="236"/>
      <c r="F43" s="237">
        <f>IF('Gårdens info'!D33&gt;0,L380,0)</f>
        <v>0</v>
      </c>
      <c r="G43" s="119" t="s">
        <v>57</v>
      </c>
      <c r="H43" s="503">
        <f>IF('Gårdens info'!$G$33&gt;0,F43/'Gårdens info'!$G$33,0)</f>
        <v>0</v>
      </c>
      <c r="I43" s="119" t="s">
        <v>206</v>
      </c>
      <c r="J43" s="237">
        <f>F43*'Gårdens info'!$D$33</f>
        <v>0</v>
      </c>
      <c r="K43" s="119" t="s">
        <v>757</v>
      </c>
      <c r="L43" s="236"/>
      <c r="M43" s="239"/>
      <c r="Y43" s="382" t="str">
        <f>B79</f>
        <v>TÄCKDIKEN</v>
      </c>
      <c r="Z43" s="451">
        <f>F83</f>
        <v>0</v>
      </c>
    </row>
    <row r="44" spans="1:26" s="192" customFormat="1" ht="15.6" x14ac:dyDescent="0.3">
      <c r="A44" s="359"/>
      <c r="B44" s="251"/>
      <c r="C44" s="240" t="s">
        <v>54</v>
      </c>
      <c r="D44" s="241"/>
      <c r="E44" s="241"/>
      <c r="F44" s="242">
        <f>SUM(F36:F43)</f>
        <v>0</v>
      </c>
      <c r="G44" s="243" t="s">
        <v>57</v>
      </c>
      <c r="H44" s="504">
        <f>SUM(H36:H43)</f>
        <v>0</v>
      </c>
      <c r="I44" s="243" t="s">
        <v>206</v>
      </c>
      <c r="J44" s="242">
        <f>SUM(J36:J43)</f>
        <v>0</v>
      </c>
      <c r="K44" s="243" t="s">
        <v>757</v>
      </c>
      <c r="L44" s="241"/>
      <c r="M44" s="252"/>
      <c r="N44" s="69"/>
      <c r="O44" s="69"/>
      <c r="P44" s="69"/>
      <c r="Q44" s="69"/>
      <c r="R44" s="69"/>
      <c r="S44" s="69"/>
      <c r="T44" s="69"/>
      <c r="U44" s="69"/>
      <c r="Y44" s="382" t="str">
        <f>B86</f>
        <v>Lönekrav för eget arbete</v>
      </c>
      <c r="Z44" s="451">
        <f>F94</f>
        <v>0</v>
      </c>
    </row>
    <row r="45" spans="1:26" ht="17.399999999999999" x14ac:dyDescent="0.3">
      <c r="B45" s="231"/>
      <c r="C45" s="245"/>
      <c r="D45" s="246"/>
      <c r="E45" s="246"/>
      <c r="F45" s="247"/>
      <c r="G45" s="119"/>
      <c r="H45" s="246"/>
      <c r="I45" s="246"/>
      <c r="J45" s="246"/>
      <c r="K45" s="246"/>
      <c r="L45" s="246"/>
      <c r="M45" s="226"/>
      <c r="N45" s="192"/>
      <c r="O45" s="192"/>
      <c r="P45" s="192"/>
      <c r="Q45" s="192"/>
      <c r="R45" s="192"/>
      <c r="S45" s="192"/>
      <c r="T45" s="192"/>
      <c r="U45" s="192"/>
      <c r="Y45" s="192"/>
      <c r="Z45" s="192"/>
    </row>
    <row r="46" spans="1:26" ht="17.399999999999999" x14ac:dyDescent="0.3">
      <c r="B46" s="952" t="s">
        <v>581</v>
      </c>
      <c r="C46" s="245"/>
      <c r="D46" s="246"/>
      <c r="E46" s="246"/>
      <c r="F46" s="246"/>
      <c r="G46" s="246"/>
      <c r="H46" s="246"/>
      <c r="I46" s="246"/>
      <c r="J46" s="246"/>
      <c r="K46" s="246"/>
      <c r="L46" s="246"/>
      <c r="M46" s="226"/>
    </row>
    <row r="47" spans="1:26" ht="17.399999999999999" x14ac:dyDescent="0.3">
      <c r="B47" s="231"/>
      <c r="C47" s="228" t="s">
        <v>220</v>
      </c>
      <c r="D47" s="236"/>
      <c r="E47" s="236"/>
      <c r="F47" s="237">
        <f>IF('Gårdens info'!D33&gt;0,J397/'Gårdens info'!I33,0)</f>
        <v>0</v>
      </c>
      <c r="G47" s="119" t="s">
        <v>57</v>
      </c>
      <c r="H47" s="503">
        <f>IF('Gårdens info'!$G$33&gt;0,F47/'Gårdens info'!$G$33,0)</f>
        <v>0</v>
      </c>
      <c r="I47" s="119" t="s">
        <v>206</v>
      </c>
      <c r="J47" s="237">
        <f>F47*'Gårdens info'!$D$33</f>
        <v>0</v>
      </c>
      <c r="K47" s="119" t="s">
        <v>757</v>
      </c>
      <c r="L47" s="246"/>
      <c r="M47" s="226"/>
    </row>
    <row r="48" spans="1:26" s="69" customFormat="1" ht="15" x14ac:dyDescent="0.25">
      <c r="A48" s="358"/>
      <c r="B48" s="235"/>
      <c r="C48" s="228" t="s">
        <v>568</v>
      </c>
      <c r="D48" s="236"/>
      <c r="E48" s="236"/>
      <c r="F48" s="237">
        <f>IF('Gårdens info'!D33&gt;0,J405/'Gårdens info'!I33,0)</f>
        <v>0</v>
      </c>
      <c r="G48" s="119" t="s">
        <v>57</v>
      </c>
      <c r="H48" s="503">
        <f>IF('Gårdens info'!$G$33&gt;0,F48/'Gårdens info'!$G$33,0)</f>
        <v>0</v>
      </c>
      <c r="I48" s="119" t="s">
        <v>206</v>
      </c>
      <c r="J48" s="237">
        <f>F48*'Gårdens info'!$D$33</f>
        <v>0</v>
      </c>
      <c r="K48" s="119" t="s">
        <v>757</v>
      </c>
      <c r="L48" s="236"/>
      <c r="M48" s="239"/>
      <c r="N48"/>
      <c r="O48"/>
      <c r="P48"/>
      <c r="Q48"/>
      <c r="R48"/>
      <c r="S48"/>
      <c r="T48"/>
      <c r="U48"/>
      <c r="Y48"/>
      <c r="Z48"/>
    </row>
    <row r="49" spans="1:26" s="69" customFormat="1" ht="15" x14ac:dyDescent="0.25">
      <c r="A49" s="358"/>
      <c r="B49" s="235"/>
      <c r="C49" s="228" t="s">
        <v>224</v>
      </c>
      <c r="D49" s="236"/>
      <c r="E49" s="236"/>
      <c r="F49" s="237">
        <f>IF('Gårdens info'!D33&gt;0,J417/'Gårdens info'!I33,0)</f>
        <v>0</v>
      </c>
      <c r="G49" s="119" t="s">
        <v>57</v>
      </c>
      <c r="H49" s="503">
        <f>IF('Gårdens info'!$G$33&gt;0,F49/'Gårdens info'!$G$33,0)</f>
        <v>0</v>
      </c>
      <c r="I49" s="119" t="s">
        <v>206</v>
      </c>
      <c r="J49" s="237">
        <f>F49*'Gårdens info'!$D$33</f>
        <v>0</v>
      </c>
      <c r="K49" s="119" t="s">
        <v>757</v>
      </c>
      <c r="L49" s="236"/>
      <c r="M49" s="239"/>
    </row>
    <row r="50" spans="1:26" s="69" customFormat="1" ht="15" x14ac:dyDescent="0.25">
      <c r="A50" s="358"/>
      <c r="B50" s="235"/>
      <c r="C50" s="228" t="s">
        <v>570</v>
      </c>
      <c r="D50" s="236"/>
      <c r="E50" s="236"/>
      <c r="F50" s="237">
        <f>IF('Gårdens info'!D33&gt;0,L430/'Gårdens info'!I33,0)</f>
        <v>0</v>
      </c>
      <c r="G50" s="119" t="s">
        <v>57</v>
      </c>
      <c r="H50" s="503">
        <f>IF('Gårdens info'!$G$33&gt;0,F50/'Gårdens info'!$G$33,0)</f>
        <v>0</v>
      </c>
      <c r="I50" s="119" t="s">
        <v>206</v>
      </c>
      <c r="J50" s="237">
        <f>F50*'Gårdens info'!$D$33</f>
        <v>0</v>
      </c>
      <c r="K50" s="119" t="s">
        <v>757</v>
      </c>
      <c r="L50" s="236"/>
      <c r="M50" s="239"/>
    </row>
    <row r="51" spans="1:26" s="5" customFormat="1" ht="15.6" x14ac:dyDescent="0.3">
      <c r="A51" s="356"/>
      <c r="B51" s="286"/>
      <c r="C51" s="262" t="s">
        <v>54</v>
      </c>
      <c r="D51" s="262"/>
      <c r="E51" s="262"/>
      <c r="F51" s="263">
        <f>SUM(F47:F50)</f>
        <v>0</v>
      </c>
      <c r="G51" s="243" t="s">
        <v>57</v>
      </c>
      <c r="H51" s="506">
        <f>SUM(H47:H50)</f>
        <v>0</v>
      </c>
      <c r="I51" s="243" t="s">
        <v>206</v>
      </c>
      <c r="J51" s="258">
        <f>SUM(J47:J50)</f>
        <v>0</v>
      </c>
      <c r="K51" s="243" t="s">
        <v>757</v>
      </c>
      <c r="L51" s="265"/>
      <c r="M51" s="259"/>
      <c r="N51" s="69"/>
      <c r="O51" s="69"/>
      <c r="P51" s="69"/>
      <c r="Q51" s="69"/>
      <c r="R51" s="69"/>
      <c r="S51" s="69"/>
      <c r="T51" s="69"/>
      <c r="U51" s="69"/>
      <c r="Y51" s="69"/>
      <c r="Z51" s="69"/>
    </row>
    <row r="52" spans="1:26" s="5" customFormat="1" ht="15.6" x14ac:dyDescent="0.3">
      <c r="A52" s="356"/>
      <c r="B52" s="286"/>
      <c r="C52" s="262"/>
      <c r="D52" s="262"/>
      <c r="E52" s="262"/>
      <c r="F52" s="263"/>
      <c r="G52" s="243"/>
      <c r="H52" s="264"/>
      <c r="I52" s="243"/>
      <c r="J52" s="258"/>
      <c r="K52" s="243"/>
      <c r="L52" s="265"/>
      <c r="M52" s="259"/>
    </row>
    <row r="53" spans="1:26" s="5" customFormat="1" ht="17.399999999999999" x14ac:dyDescent="0.3">
      <c r="A53" s="356"/>
      <c r="B53" s="1081" t="s">
        <v>759</v>
      </c>
      <c r="C53" s="1082"/>
      <c r="D53" s="1082"/>
      <c r="E53" s="1082"/>
      <c r="F53" s="263">
        <f>IF('Gårdens info'!D33&gt;0,J53/'Gårdens info'!D33,0)</f>
        <v>0</v>
      </c>
      <c r="G53" s="243" t="s">
        <v>57</v>
      </c>
      <c r="H53" s="506">
        <f>IF('Gårdens info'!G33&gt;0,F53/'Gårdens info'!G33,0)</f>
        <v>0</v>
      </c>
      <c r="I53" s="243" t="s">
        <v>206</v>
      </c>
      <c r="J53" s="258">
        <f>'Gårdens info'!G163/'Gårdens info'!D43*'Gårdens info'!D33</f>
        <v>0</v>
      </c>
      <c r="K53" s="243" t="s">
        <v>757</v>
      </c>
      <c r="L53" s="265"/>
      <c r="M53" s="259"/>
    </row>
    <row r="54" spans="1:26" s="5" customFormat="1" ht="17.399999999999999" x14ac:dyDescent="0.3">
      <c r="A54" s="356"/>
      <c r="B54" s="1091" t="s">
        <v>760</v>
      </c>
      <c r="C54" s="1092"/>
      <c r="D54" s="1092"/>
      <c r="E54" s="1092"/>
      <c r="F54" s="263">
        <f>IF('Gårdens info'!D33&gt;0,J54/'Gårdens info'!D33,0)</f>
        <v>0</v>
      </c>
      <c r="G54" s="243" t="s">
        <v>57</v>
      </c>
      <c r="H54" s="506">
        <f>IF('Gårdens info'!G33&gt;0,F54/'Gårdens info'!G33,0)</f>
        <v>0</v>
      </c>
      <c r="I54" s="243" t="s">
        <v>206</v>
      </c>
      <c r="J54" s="258">
        <f>'Gårdens info'!$D$48/'Gårdens info'!$D$49*'Gårdens info'!$G$48*'Gårdens info'!D33</f>
        <v>0</v>
      </c>
      <c r="K54" s="243" t="s">
        <v>757</v>
      </c>
      <c r="L54" s="265"/>
      <c r="M54" s="259"/>
    </row>
    <row r="55" spans="1:26" s="5" customFormat="1" ht="21" x14ac:dyDescent="0.4">
      <c r="A55" s="356"/>
      <c r="B55" s="1061" t="s">
        <v>761</v>
      </c>
      <c r="C55" s="1043"/>
      <c r="D55" s="1043"/>
      <c r="E55" s="262"/>
      <c r="F55" s="266">
        <f>F21+F44+F51+F53+F54</f>
        <v>0</v>
      </c>
      <c r="G55" s="267" t="s">
        <v>57</v>
      </c>
      <c r="H55" s="507">
        <f>H21+H44+H51+H53+H54</f>
        <v>0</v>
      </c>
      <c r="I55" s="267" t="s">
        <v>206</v>
      </c>
      <c r="J55" s="269">
        <f>J21+J44+J51+J53+J54</f>
        <v>0</v>
      </c>
      <c r="K55" s="267" t="s">
        <v>757</v>
      </c>
      <c r="L55" s="267"/>
      <c r="M55" s="259"/>
    </row>
    <row r="56" spans="1:26" s="5" customFormat="1" ht="43.2" customHeight="1" x14ac:dyDescent="0.4">
      <c r="A56" s="356"/>
      <c r="B56" s="288"/>
      <c r="C56" s="270"/>
      <c r="D56" s="270"/>
      <c r="E56" s="262"/>
      <c r="F56" s="266"/>
      <c r="G56" s="267"/>
      <c r="H56" s="268"/>
      <c r="I56" s="267"/>
      <c r="J56" s="269"/>
      <c r="K56" s="267"/>
      <c r="L56" s="267"/>
      <c r="M56" s="259"/>
    </row>
    <row r="57" spans="1:26" ht="21" x14ac:dyDescent="0.4">
      <c r="B57" s="257" t="s">
        <v>762</v>
      </c>
      <c r="C57" s="225"/>
      <c r="D57" s="116"/>
      <c r="E57" s="116"/>
      <c r="F57" s="116"/>
      <c r="G57" s="116"/>
      <c r="H57" s="116"/>
      <c r="I57" s="116"/>
      <c r="J57" s="232"/>
      <c r="K57" s="116"/>
      <c r="L57" s="116"/>
      <c r="M57" s="226"/>
      <c r="N57" s="5"/>
      <c r="O57" s="5"/>
      <c r="P57" s="5"/>
      <c r="Q57" s="5"/>
      <c r="R57" s="5"/>
      <c r="S57" s="5"/>
      <c r="T57" s="5"/>
      <c r="U57" s="5"/>
      <c r="Y57" s="5"/>
      <c r="Z57" s="5"/>
    </row>
    <row r="58" spans="1:26" s="5" customFormat="1" ht="21" x14ac:dyDescent="0.4">
      <c r="A58" s="356"/>
      <c r="B58" s="1081" t="s">
        <v>69</v>
      </c>
      <c r="C58" s="1082"/>
      <c r="D58" s="270"/>
      <c r="E58" s="262"/>
      <c r="F58" s="266"/>
      <c r="G58" s="267"/>
      <c r="H58" s="268"/>
      <c r="I58" s="267"/>
      <c r="J58" s="269"/>
      <c r="K58" s="267"/>
      <c r="L58" s="267"/>
      <c r="M58" s="259"/>
      <c r="N58"/>
      <c r="O58"/>
      <c r="P58"/>
      <c r="Q58"/>
      <c r="R58"/>
      <c r="S58"/>
      <c r="T58"/>
      <c r="U58"/>
      <c r="Y58"/>
      <c r="Z58"/>
    </row>
    <row r="59" spans="1:26" s="5" customFormat="1" ht="21" x14ac:dyDescent="0.4">
      <c r="A59" s="356"/>
      <c r="B59" s="287"/>
      <c r="C59" s="941" t="s">
        <v>229</v>
      </c>
      <c r="D59" s="942"/>
      <c r="E59" s="262"/>
      <c r="F59" s="276">
        <f>IF('Gårdens info'!$D$33&gt;0,J59/'Gårdens info'!$D$33,0)</f>
        <v>0</v>
      </c>
      <c r="G59" s="119" t="s">
        <v>57</v>
      </c>
      <c r="H59" s="502">
        <f>IF('Gårdens info'!$G$33&gt;0,F59/'Gårdens info'!$G$33,0)</f>
        <v>0</v>
      </c>
      <c r="I59" s="119" t="s">
        <v>206</v>
      </c>
      <c r="J59" s="237">
        <f>Egendom!BA25</f>
        <v>0</v>
      </c>
      <c r="K59" s="119" t="s">
        <v>757</v>
      </c>
      <c r="L59" s="267"/>
      <c r="M59" s="259"/>
    </row>
    <row r="60" spans="1:26" s="5" customFormat="1" ht="21" x14ac:dyDescent="0.4">
      <c r="A60" s="356"/>
      <c r="B60" s="287"/>
      <c r="C60" s="941" t="s">
        <v>230</v>
      </c>
      <c r="D60" s="942"/>
      <c r="E60" s="262"/>
      <c r="F60" s="276">
        <f>IF('Gårdens info'!$D$33&gt;0,J60/'Gårdens info'!$D$33,0)</f>
        <v>0</v>
      </c>
      <c r="G60" s="119" t="s">
        <v>57</v>
      </c>
      <c r="H60" s="502">
        <f>IF('Gårdens info'!$G$33&gt;0,F60/'Gårdens info'!$G$33,0)</f>
        <v>0</v>
      </c>
      <c r="I60" s="119" t="s">
        <v>206</v>
      </c>
      <c r="J60" s="237">
        <f>Egendom!BY25</f>
        <v>0</v>
      </c>
      <c r="K60" s="119" t="s">
        <v>757</v>
      </c>
      <c r="L60" s="267"/>
      <c r="M60" s="259"/>
    </row>
    <row r="61" spans="1:26" s="5" customFormat="1" ht="17.399999999999999" customHeight="1" x14ac:dyDescent="0.3">
      <c r="A61" s="356"/>
      <c r="B61" s="287"/>
      <c r="C61" s="1108" t="s">
        <v>232</v>
      </c>
      <c r="D61" s="1108"/>
      <c r="E61" s="262"/>
      <c r="F61" s="276">
        <f>IF('Gårdens info'!$D$33&gt;0,J61/'Gårdens info'!$D$33,0)</f>
        <v>0</v>
      </c>
      <c r="G61" s="119" t="s">
        <v>57</v>
      </c>
      <c r="H61" s="502">
        <f>IF('Gårdens info'!$G$33&gt;0,F61/'Gårdens info'!$G$33,0)</f>
        <v>0</v>
      </c>
      <c r="I61" s="119" t="s">
        <v>206</v>
      </c>
      <c r="J61" s="237">
        <f>Egendom!CW25</f>
        <v>0</v>
      </c>
      <c r="K61" s="119" t="s">
        <v>757</v>
      </c>
      <c r="L61" s="267"/>
      <c r="M61" s="259"/>
    </row>
    <row r="62" spans="1:26" s="5" customFormat="1" ht="21" x14ac:dyDescent="0.4">
      <c r="A62" s="356"/>
      <c r="B62" s="287"/>
      <c r="C62" s="941" t="s">
        <v>483</v>
      </c>
      <c r="D62" s="942"/>
      <c r="E62" s="262"/>
      <c r="F62" s="276">
        <f>IF('Gårdens info'!$D$33&gt;0,J62/'Gårdens info'!$D$33,0)</f>
        <v>0</v>
      </c>
      <c r="G62" s="119" t="s">
        <v>57</v>
      </c>
      <c r="H62" s="502">
        <f>IF('Gårdens info'!$G$33&gt;0,F62/'Gårdens info'!$G$33,0)</f>
        <v>0</v>
      </c>
      <c r="I62" s="119" t="s">
        <v>206</v>
      </c>
      <c r="J62" s="237">
        <f>Egendom!DU25</f>
        <v>0</v>
      </c>
      <c r="K62" s="119" t="s">
        <v>757</v>
      </c>
      <c r="L62" s="267"/>
      <c r="M62" s="259"/>
    </row>
    <row r="63" spans="1:26" s="5" customFormat="1" ht="20.399999999999999" x14ac:dyDescent="0.35">
      <c r="A63" s="356"/>
      <c r="B63" s="289"/>
      <c r="C63" s="943" t="s">
        <v>54</v>
      </c>
      <c r="D63" s="944"/>
      <c r="E63" s="262"/>
      <c r="F63" s="280">
        <f>SUM(F59:F62)</f>
        <v>0</v>
      </c>
      <c r="G63" s="119" t="s">
        <v>57</v>
      </c>
      <c r="H63" s="509">
        <f t="shared" ref="H63:J63" si="3">SUM(H59:H62)</f>
        <v>0</v>
      </c>
      <c r="I63" s="119" t="s">
        <v>206</v>
      </c>
      <c r="J63" s="280">
        <f t="shared" si="3"/>
        <v>0</v>
      </c>
      <c r="K63" s="119" t="s">
        <v>757</v>
      </c>
      <c r="L63" s="281"/>
      <c r="M63" s="259"/>
    </row>
    <row r="64" spans="1:26" s="5" customFormat="1" ht="21" x14ac:dyDescent="0.4">
      <c r="A64" s="356"/>
      <c r="B64" s="287"/>
      <c r="C64" s="274"/>
      <c r="D64" s="270"/>
      <c r="E64" s="262"/>
      <c r="F64" s="276"/>
      <c r="G64" s="119"/>
      <c r="H64" s="277"/>
      <c r="I64" s="119"/>
      <c r="J64" s="237"/>
      <c r="K64" s="119"/>
      <c r="L64" s="267"/>
      <c r="M64" s="259"/>
    </row>
    <row r="65" spans="1:13" s="5" customFormat="1" ht="19.95" customHeight="1" x14ac:dyDescent="0.3">
      <c r="A65" s="356"/>
      <c r="B65" s="1081" t="s">
        <v>83</v>
      </c>
      <c r="C65" s="1082"/>
      <c r="D65" s="1082"/>
      <c r="E65" s="262"/>
      <c r="F65" s="276"/>
      <c r="G65" s="119"/>
      <c r="H65" s="277"/>
      <c r="I65" s="119"/>
      <c r="J65" s="237"/>
      <c r="K65" s="119"/>
      <c r="L65" s="267"/>
      <c r="M65" s="259"/>
    </row>
    <row r="66" spans="1:13" s="5" customFormat="1" ht="21" x14ac:dyDescent="0.4">
      <c r="A66" s="356"/>
      <c r="B66" s="287"/>
      <c r="C66" s="941" t="s">
        <v>229</v>
      </c>
      <c r="D66" s="942"/>
      <c r="E66" s="262"/>
      <c r="F66" s="276">
        <f>IF('Gårdens info'!$D$33&gt;0,J66/'Gårdens info'!$D$33,0)</f>
        <v>0</v>
      </c>
      <c r="G66" s="119" t="s">
        <v>57</v>
      </c>
      <c r="H66" s="502">
        <f>IF('Gårdens info'!$G$33&gt;0,F66/'Gårdens info'!$G$33,0)</f>
        <v>0</v>
      </c>
      <c r="I66" s="119" t="s">
        <v>206</v>
      </c>
      <c r="J66" s="237">
        <f>Egendom!BA61</f>
        <v>0</v>
      </c>
      <c r="K66" s="119" t="s">
        <v>757</v>
      </c>
      <c r="L66" s="267"/>
      <c r="M66" s="259"/>
    </row>
    <row r="67" spans="1:13" s="5" customFormat="1" ht="21" x14ac:dyDescent="0.4">
      <c r="A67" s="356"/>
      <c r="B67" s="287"/>
      <c r="C67" s="941" t="s">
        <v>230</v>
      </c>
      <c r="D67" s="942"/>
      <c r="E67" s="262"/>
      <c r="F67" s="276">
        <f>IF('Gårdens info'!$D$33&gt;0,J67/'Gårdens info'!$D$33,0)</f>
        <v>0</v>
      </c>
      <c r="G67" s="119" t="s">
        <v>57</v>
      </c>
      <c r="H67" s="502">
        <f>IF('Gårdens info'!$G$33&gt;0,F67/'Gårdens info'!$G$33,0)</f>
        <v>0</v>
      </c>
      <c r="I67" s="119" t="s">
        <v>206</v>
      </c>
      <c r="J67" s="237">
        <f>Egendom!BY61</f>
        <v>0</v>
      </c>
      <c r="K67" s="119" t="s">
        <v>757</v>
      </c>
      <c r="L67" s="267"/>
      <c r="M67" s="259"/>
    </row>
    <row r="68" spans="1:13" s="5" customFormat="1" ht="17.399999999999999" customHeight="1" x14ac:dyDescent="0.3">
      <c r="A68" s="356"/>
      <c r="B68" s="287"/>
      <c r="C68" s="1108" t="s">
        <v>232</v>
      </c>
      <c r="D68" s="1108"/>
      <c r="E68" s="262"/>
      <c r="F68" s="276">
        <f>IF('Gårdens info'!$D$33&gt;0,J68/'Gårdens info'!$D$33,0)</f>
        <v>0</v>
      </c>
      <c r="G68" s="119" t="s">
        <v>57</v>
      </c>
      <c r="H68" s="502">
        <f>IF('Gårdens info'!$G$33&gt;0,F68/'Gårdens info'!$G$33,0)</f>
        <v>0</v>
      </c>
      <c r="I68" s="119" t="s">
        <v>206</v>
      </c>
      <c r="J68" s="237">
        <f>Egendom!CW61</f>
        <v>0</v>
      </c>
      <c r="K68" s="119" t="s">
        <v>757</v>
      </c>
      <c r="L68" s="267"/>
      <c r="M68" s="259"/>
    </row>
    <row r="69" spans="1:13" s="5" customFormat="1" ht="21" x14ac:dyDescent="0.4">
      <c r="A69" s="356"/>
      <c r="B69" s="287"/>
      <c r="C69" s="941" t="s">
        <v>483</v>
      </c>
      <c r="D69" s="942"/>
      <c r="E69" s="262"/>
      <c r="F69" s="276">
        <f>IF('Gårdens info'!$D$33&gt;0,J69/'Gårdens info'!$D$33,0)</f>
        <v>0</v>
      </c>
      <c r="G69" s="119" t="s">
        <v>57</v>
      </c>
      <c r="H69" s="502">
        <f>IF('Gårdens info'!$G$33&gt;0,F69/'Gårdens info'!$G$33,0)</f>
        <v>0</v>
      </c>
      <c r="I69" s="119" t="s">
        <v>206</v>
      </c>
      <c r="J69" s="237">
        <f>Egendom!DU61</f>
        <v>0</v>
      </c>
      <c r="K69" s="119" t="s">
        <v>757</v>
      </c>
      <c r="L69" s="267"/>
      <c r="M69" s="259"/>
    </row>
    <row r="70" spans="1:13" s="5" customFormat="1" ht="20.399999999999999" x14ac:dyDescent="0.35">
      <c r="A70" s="356"/>
      <c r="B70" s="289"/>
      <c r="C70" s="943" t="s">
        <v>54</v>
      </c>
      <c r="D70" s="944"/>
      <c r="E70" s="262"/>
      <c r="F70" s="280">
        <f>SUM(F66:F69)</f>
        <v>0</v>
      </c>
      <c r="G70" s="119" t="s">
        <v>57</v>
      </c>
      <c r="H70" s="509">
        <f t="shared" ref="H70:J70" si="4">SUM(H66:H69)</f>
        <v>0</v>
      </c>
      <c r="I70" s="119" t="s">
        <v>206</v>
      </c>
      <c r="J70" s="280">
        <f t="shared" si="4"/>
        <v>0</v>
      </c>
      <c r="K70" s="119" t="s">
        <v>757</v>
      </c>
      <c r="L70" s="281"/>
      <c r="M70" s="259"/>
    </row>
    <row r="71" spans="1:13" s="5" customFormat="1" ht="21" x14ac:dyDescent="0.4">
      <c r="A71" s="356"/>
      <c r="B71" s="287"/>
      <c r="C71" s="274"/>
      <c r="D71" s="270"/>
      <c r="E71" s="262"/>
      <c r="F71" s="276"/>
      <c r="G71" s="119"/>
      <c r="H71" s="277"/>
      <c r="I71" s="119"/>
      <c r="J71" s="237"/>
      <c r="K71" s="119"/>
      <c r="L71" s="267"/>
      <c r="M71" s="259"/>
    </row>
    <row r="72" spans="1:13" s="5" customFormat="1" ht="19.95" customHeight="1" x14ac:dyDescent="0.3">
      <c r="A72" s="356"/>
      <c r="B72" s="1081" t="s">
        <v>355</v>
      </c>
      <c r="C72" s="1082"/>
      <c r="D72" s="1082"/>
      <c r="E72" s="262"/>
      <c r="F72" s="276"/>
      <c r="G72" s="119"/>
      <c r="H72" s="277"/>
      <c r="I72" s="119"/>
      <c r="J72" s="237"/>
      <c r="K72" s="119"/>
      <c r="L72" s="267"/>
      <c r="M72" s="259"/>
    </row>
    <row r="73" spans="1:13" s="5" customFormat="1" ht="21" x14ac:dyDescent="0.4">
      <c r="A73" s="356"/>
      <c r="B73" s="287"/>
      <c r="C73" s="941" t="s">
        <v>229</v>
      </c>
      <c r="D73" s="942"/>
      <c r="E73" s="262"/>
      <c r="F73" s="276">
        <f>IF('Gårdens info'!$D$33&gt;0,J73/'Gårdens info'!$D$33,0)</f>
        <v>0</v>
      </c>
      <c r="G73" s="119" t="s">
        <v>57</v>
      </c>
      <c r="H73" s="502">
        <f>IF('Gårdens info'!$G$33&gt;0,F73/'Gårdens info'!$G$33,0)</f>
        <v>0</v>
      </c>
      <c r="I73" s="119" t="s">
        <v>206</v>
      </c>
      <c r="J73" s="237">
        <f>Egendom!BA90</f>
        <v>0</v>
      </c>
      <c r="K73" s="119" t="s">
        <v>757</v>
      </c>
      <c r="L73" s="267"/>
      <c r="M73" s="259"/>
    </row>
    <row r="74" spans="1:13" s="5" customFormat="1" ht="21" x14ac:dyDescent="0.4">
      <c r="A74" s="356"/>
      <c r="B74" s="287"/>
      <c r="C74" s="941" t="s">
        <v>230</v>
      </c>
      <c r="D74" s="942"/>
      <c r="E74" s="262"/>
      <c r="F74" s="276">
        <f>IF('Gårdens info'!$D$33&gt;0,J74/'Gårdens info'!$D$33,0)</f>
        <v>0</v>
      </c>
      <c r="G74" s="119" t="s">
        <v>57</v>
      </c>
      <c r="H74" s="502">
        <f>IF('Gårdens info'!$G$33&gt;0,F74/'Gårdens info'!$G$33,0)</f>
        <v>0</v>
      </c>
      <c r="I74" s="119" t="s">
        <v>206</v>
      </c>
      <c r="J74" s="237">
        <f>Egendom!BY90</f>
        <v>0</v>
      </c>
      <c r="K74" s="119" t="s">
        <v>757</v>
      </c>
      <c r="L74" s="267"/>
      <c r="M74" s="259"/>
    </row>
    <row r="75" spans="1:13" s="5" customFormat="1" ht="17.399999999999999" customHeight="1" x14ac:dyDescent="0.3">
      <c r="A75" s="356"/>
      <c r="B75" s="287"/>
      <c r="C75" s="1108" t="s">
        <v>232</v>
      </c>
      <c r="D75" s="1108"/>
      <c r="E75" s="262"/>
      <c r="F75" s="276">
        <f>IF('Gårdens info'!$D$33&gt;0,J75/'Gårdens info'!$D$33,0)</f>
        <v>0</v>
      </c>
      <c r="G75" s="119" t="s">
        <v>57</v>
      </c>
      <c r="H75" s="502">
        <f>IF('Gårdens info'!$G$33&gt;0,F75/'Gårdens info'!$G$33,0)</f>
        <v>0</v>
      </c>
      <c r="I75" s="119" t="s">
        <v>206</v>
      </c>
      <c r="J75" s="237">
        <f>Egendom!CW90</f>
        <v>0</v>
      </c>
      <c r="K75" s="119" t="s">
        <v>757</v>
      </c>
      <c r="L75" s="267"/>
      <c r="M75" s="259"/>
    </row>
    <row r="76" spans="1:13" s="5" customFormat="1" ht="21" x14ac:dyDescent="0.4">
      <c r="A76" s="356"/>
      <c r="B76" s="287"/>
      <c r="C76" s="941" t="s">
        <v>483</v>
      </c>
      <c r="D76" s="942"/>
      <c r="E76" s="262"/>
      <c r="F76" s="276">
        <f>IF('Gårdens info'!$D$33&gt;0,J76/'Gårdens info'!$D$33,0)</f>
        <v>0</v>
      </c>
      <c r="G76" s="119" t="s">
        <v>57</v>
      </c>
      <c r="H76" s="502">
        <f>IF('Gårdens info'!$G$33&gt;0,F76/'Gårdens info'!$G$33,0)</f>
        <v>0</v>
      </c>
      <c r="I76" s="119" t="s">
        <v>206</v>
      </c>
      <c r="J76" s="237">
        <f>Egendom!DU90</f>
        <v>0</v>
      </c>
      <c r="K76" s="119" t="s">
        <v>757</v>
      </c>
      <c r="L76" s="267"/>
      <c r="M76" s="259"/>
    </row>
    <row r="77" spans="1:13" s="5" customFormat="1" ht="20.399999999999999" x14ac:dyDescent="0.35">
      <c r="A77" s="356"/>
      <c r="B77" s="289"/>
      <c r="C77" s="943" t="s">
        <v>54</v>
      </c>
      <c r="D77" s="944"/>
      <c r="E77" s="262"/>
      <c r="F77" s="280">
        <f>SUM(F73:F76)</f>
        <v>0</v>
      </c>
      <c r="G77" s="119" t="s">
        <v>57</v>
      </c>
      <c r="H77" s="509">
        <f t="shared" ref="H77:J77" si="5">SUM(H73:H76)</f>
        <v>0</v>
      </c>
      <c r="I77" s="119" t="s">
        <v>206</v>
      </c>
      <c r="J77" s="280">
        <f t="shared" si="5"/>
        <v>0</v>
      </c>
      <c r="K77" s="119" t="s">
        <v>757</v>
      </c>
      <c r="L77" s="281"/>
      <c r="M77" s="259"/>
    </row>
    <row r="78" spans="1:13" s="5" customFormat="1" ht="21" x14ac:dyDescent="0.4">
      <c r="A78" s="356"/>
      <c r="B78" s="287"/>
      <c r="C78" s="274"/>
      <c r="D78" s="270"/>
      <c r="E78" s="262"/>
      <c r="F78" s="276"/>
      <c r="G78" s="119"/>
      <c r="H78" s="277"/>
      <c r="I78" s="119"/>
      <c r="J78" s="237"/>
      <c r="K78" s="119"/>
      <c r="L78" s="267"/>
      <c r="M78" s="259"/>
    </row>
    <row r="79" spans="1:13" s="5" customFormat="1" ht="21" x14ac:dyDescent="0.4">
      <c r="A79" s="356"/>
      <c r="B79" s="1084" t="s">
        <v>139</v>
      </c>
      <c r="C79" s="1085"/>
      <c r="D79" s="270"/>
      <c r="E79" s="262"/>
      <c r="F79" s="276"/>
      <c r="G79" s="119"/>
      <c r="H79" s="277"/>
      <c r="I79" s="119"/>
      <c r="J79" s="237"/>
      <c r="K79" s="119"/>
      <c r="L79" s="267"/>
      <c r="M79" s="259"/>
    </row>
    <row r="80" spans="1:13" s="5" customFormat="1" ht="21" x14ac:dyDescent="0.4">
      <c r="A80" s="356"/>
      <c r="B80" s="287"/>
      <c r="C80" s="941" t="s">
        <v>229</v>
      </c>
      <c r="D80" s="942"/>
      <c r="E80" s="262"/>
      <c r="F80" s="276">
        <f>IF('Gårdens info'!$D$33&gt;0,J80/'Gårdens info'!$D$33,0)</f>
        <v>0</v>
      </c>
      <c r="G80" s="119" t="s">
        <v>57</v>
      </c>
      <c r="H80" s="502">
        <f>IF('Gårdens info'!$G$33&gt;0,F80/'Gårdens info'!$G$33,0)</f>
        <v>0</v>
      </c>
      <c r="I80" s="119" t="s">
        <v>206</v>
      </c>
      <c r="J80" s="237">
        <f>Egendom!BA93</f>
        <v>0</v>
      </c>
      <c r="K80" s="119" t="s">
        <v>757</v>
      </c>
      <c r="L80" s="267"/>
      <c r="M80" s="259"/>
    </row>
    <row r="81" spans="1:26" s="5" customFormat="1" ht="21" x14ac:dyDescent="0.4">
      <c r="A81" s="356"/>
      <c r="B81" s="287"/>
      <c r="C81" s="941" t="s">
        <v>230</v>
      </c>
      <c r="D81" s="942"/>
      <c r="E81" s="262"/>
      <c r="F81" s="276">
        <f>IF('Gårdens info'!$D$33&gt;0,J81/'Gårdens info'!$D$33,0)</f>
        <v>0</v>
      </c>
      <c r="G81" s="119" t="s">
        <v>57</v>
      </c>
      <c r="H81" s="502">
        <f>IF('Gårdens info'!$G$33&gt;0,F81/'Gårdens info'!$G$33,0)</f>
        <v>0</v>
      </c>
      <c r="I81" s="119" t="s">
        <v>206</v>
      </c>
      <c r="J81" s="237">
        <f>Egendom!BY93</f>
        <v>0</v>
      </c>
      <c r="K81" s="119" t="s">
        <v>757</v>
      </c>
      <c r="L81" s="267"/>
      <c r="M81" s="259"/>
    </row>
    <row r="82" spans="1:26" s="5" customFormat="1" ht="17.399999999999999" customHeight="1" x14ac:dyDescent="0.3">
      <c r="A82" s="356"/>
      <c r="B82" s="287"/>
      <c r="C82" s="1108" t="s">
        <v>232</v>
      </c>
      <c r="D82" s="1108"/>
      <c r="E82" s="262"/>
      <c r="F82" s="276">
        <f>IF('Gårdens info'!$D$33&gt;0,J82/'Gårdens info'!$D$33,0)</f>
        <v>0</v>
      </c>
      <c r="G82" s="119" t="s">
        <v>57</v>
      </c>
      <c r="H82" s="502">
        <f>IF('Gårdens info'!$G$33&gt;0,F82/'Gårdens info'!$G$33,0)</f>
        <v>0</v>
      </c>
      <c r="I82" s="119" t="s">
        <v>206</v>
      </c>
      <c r="J82" s="237">
        <f>Egendom!CW93</f>
        <v>0</v>
      </c>
      <c r="K82" s="119" t="s">
        <v>757</v>
      </c>
      <c r="L82" s="267"/>
      <c r="M82" s="259"/>
    </row>
    <row r="83" spans="1:26" s="194" customFormat="1" ht="15.6" x14ac:dyDescent="0.3">
      <c r="A83" s="360"/>
      <c r="B83" s="286"/>
      <c r="C83" s="261" t="s">
        <v>54</v>
      </c>
      <c r="D83" s="261"/>
      <c r="E83" s="261"/>
      <c r="F83" s="280">
        <f>SUM(F80:F82)</f>
        <v>0</v>
      </c>
      <c r="G83" s="119" t="s">
        <v>57</v>
      </c>
      <c r="H83" s="509">
        <f t="shared" ref="H83:J83" si="6">SUM(H80:H82)</f>
        <v>0</v>
      </c>
      <c r="I83" s="119" t="s">
        <v>206</v>
      </c>
      <c r="J83" s="280">
        <f t="shared" si="6"/>
        <v>0</v>
      </c>
      <c r="K83" s="119" t="s">
        <v>757</v>
      </c>
      <c r="L83" s="284"/>
      <c r="M83" s="290"/>
      <c r="N83" s="5"/>
      <c r="O83" s="5"/>
      <c r="P83" s="5"/>
      <c r="Q83" s="5"/>
      <c r="R83" s="5"/>
      <c r="S83" s="5"/>
      <c r="T83" s="5"/>
      <c r="U83" s="5"/>
      <c r="Y83" s="5"/>
      <c r="Z83" s="5"/>
    </row>
    <row r="84" spans="1:26" s="5" customFormat="1" ht="21" x14ac:dyDescent="0.4">
      <c r="A84" s="356"/>
      <c r="B84" s="1061" t="s">
        <v>191</v>
      </c>
      <c r="C84" s="1043"/>
      <c r="D84" s="1043"/>
      <c r="E84" s="262"/>
      <c r="F84" s="266">
        <f>F63+F70+F77+F83</f>
        <v>0</v>
      </c>
      <c r="G84" s="267" t="s">
        <v>57</v>
      </c>
      <c r="H84" s="507">
        <f>H63+H70+H77+H83</f>
        <v>0</v>
      </c>
      <c r="I84" s="267" t="s">
        <v>206</v>
      </c>
      <c r="J84" s="269">
        <f>J63+J70+J77+J83</f>
        <v>0</v>
      </c>
      <c r="K84" s="267" t="s">
        <v>757</v>
      </c>
      <c r="L84" s="267"/>
      <c r="M84" s="259"/>
      <c r="N84" s="194"/>
      <c r="O84" s="194"/>
      <c r="P84" s="194"/>
      <c r="Q84" s="194"/>
      <c r="R84" s="194"/>
      <c r="S84" s="194"/>
      <c r="T84" s="194"/>
      <c r="U84" s="194"/>
      <c r="Y84" s="194"/>
      <c r="Z84" s="194"/>
    </row>
    <row r="85" spans="1:26" s="5" customFormat="1" ht="40.950000000000003" customHeight="1" x14ac:dyDescent="0.3">
      <c r="A85" s="356"/>
      <c r="B85" s="286"/>
      <c r="C85" s="262"/>
      <c r="D85" s="262"/>
      <c r="E85" s="262"/>
      <c r="F85" s="263"/>
      <c r="G85" s="243"/>
      <c r="H85" s="264"/>
      <c r="I85" s="243"/>
      <c r="J85" s="258"/>
      <c r="K85" s="243"/>
      <c r="L85" s="265"/>
      <c r="M85" s="259"/>
    </row>
    <row r="86" spans="1:26" s="5" customFormat="1" ht="21" x14ac:dyDescent="0.4">
      <c r="A86" s="356"/>
      <c r="B86" s="257" t="s">
        <v>192</v>
      </c>
      <c r="C86" s="262"/>
      <c r="D86" s="262"/>
      <c r="E86" s="262"/>
      <c r="F86" s="263"/>
      <c r="G86" s="243"/>
      <c r="H86" s="264"/>
      <c r="I86" s="243"/>
      <c r="J86" s="258"/>
      <c r="K86" s="243"/>
      <c r="L86" s="265"/>
      <c r="M86" s="259"/>
    </row>
    <row r="87" spans="1:26" s="56" customFormat="1" ht="17.399999999999999" x14ac:dyDescent="0.3">
      <c r="A87" s="357"/>
      <c r="B87" s="1148" t="s">
        <v>564</v>
      </c>
      <c r="C87" s="1149"/>
      <c r="D87" s="1149"/>
      <c r="E87" s="120"/>
      <c r="F87" s="120"/>
      <c r="G87" s="120"/>
      <c r="H87" s="120"/>
      <c r="I87" s="120"/>
      <c r="J87" s="233"/>
      <c r="K87" s="120"/>
      <c r="L87" s="120"/>
      <c r="M87" s="234"/>
      <c r="N87" s="5"/>
      <c r="O87" s="5"/>
      <c r="P87" s="5"/>
      <c r="Q87" s="5"/>
      <c r="R87" s="5"/>
      <c r="S87" s="5"/>
      <c r="T87" s="5"/>
      <c r="U87" s="5"/>
      <c r="Y87" s="5"/>
      <c r="Z87" s="5"/>
    </row>
    <row r="88" spans="1:26" s="69" customFormat="1" ht="17.399999999999999" x14ac:dyDescent="0.3">
      <c r="A88" s="358"/>
      <c r="B88" s="235"/>
      <c r="C88" s="228" t="s">
        <v>192</v>
      </c>
      <c r="D88" s="236"/>
      <c r="E88" s="236"/>
      <c r="F88" s="237">
        <f>IF('Gårdens info'!D33&gt;0,H181/'Gårdens info'!I33,0)</f>
        <v>0</v>
      </c>
      <c r="G88" s="119" t="s">
        <v>57</v>
      </c>
      <c r="H88" s="503">
        <f>IF('Gårdens info'!G33&gt;0,F88/'Gårdens info'!$G$33,0)</f>
        <v>0</v>
      </c>
      <c r="I88" s="119" t="s">
        <v>206</v>
      </c>
      <c r="J88" s="237">
        <f>F88*'Gårdens info'!D33</f>
        <v>0</v>
      </c>
      <c r="K88" s="119" t="s">
        <v>757</v>
      </c>
      <c r="L88" s="236"/>
      <c r="M88" s="239"/>
      <c r="N88" s="56"/>
      <c r="O88" s="56"/>
      <c r="P88" s="56"/>
      <c r="Q88" s="56"/>
      <c r="R88" s="56"/>
      <c r="S88" s="56"/>
      <c r="T88" s="56"/>
      <c r="U88" s="56"/>
      <c r="Y88" s="56"/>
      <c r="Z88" s="56"/>
    </row>
    <row r="89" spans="1:26" s="5" customFormat="1" ht="15.6" x14ac:dyDescent="0.3">
      <c r="A89" s="356"/>
      <c r="B89" s="286"/>
      <c r="C89" s="262"/>
      <c r="D89" s="262"/>
      <c r="E89" s="262"/>
      <c r="F89" s="263"/>
      <c r="G89" s="243"/>
      <c r="H89" s="264"/>
      <c r="I89" s="243"/>
      <c r="J89" s="258"/>
      <c r="K89" s="243"/>
      <c r="L89" s="265"/>
      <c r="M89" s="259"/>
      <c r="N89" s="69"/>
      <c r="O89" s="69"/>
      <c r="P89" s="69"/>
      <c r="Q89" s="69"/>
      <c r="R89" s="69"/>
      <c r="S89" s="69"/>
      <c r="T89" s="69"/>
      <c r="U89" s="69"/>
      <c r="Y89" s="69"/>
      <c r="Z89" s="69"/>
    </row>
    <row r="90" spans="1:26" s="56" customFormat="1" ht="17.399999999999999" x14ac:dyDescent="0.3">
      <c r="A90" s="357"/>
      <c r="B90" s="1148" t="s">
        <v>723</v>
      </c>
      <c r="C90" s="1149"/>
      <c r="D90" s="1149"/>
      <c r="E90" s="120"/>
      <c r="F90" s="120"/>
      <c r="G90" s="120"/>
      <c r="H90" s="120"/>
      <c r="I90" s="120"/>
      <c r="J90" s="233"/>
      <c r="K90" s="120"/>
      <c r="L90" s="120"/>
      <c r="M90" s="234"/>
      <c r="N90" s="5"/>
      <c r="O90" s="5"/>
      <c r="P90" s="5"/>
      <c r="Q90" s="5"/>
      <c r="R90" s="5"/>
      <c r="S90" s="5"/>
      <c r="T90" s="5"/>
      <c r="U90" s="5"/>
      <c r="Y90" s="5"/>
      <c r="Z90" s="5"/>
    </row>
    <row r="91" spans="1:26" s="69" customFormat="1" ht="17.399999999999999" x14ac:dyDescent="0.3">
      <c r="A91" s="358"/>
      <c r="B91" s="235"/>
      <c r="C91" s="228" t="s">
        <v>192</v>
      </c>
      <c r="D91" s="236"/>
      <c r="E91" s="236"/>
      <c r="F91" s="237">
        <f>IF('Gårdens info'!D33&gt;0,H286*'Gårdens info'!K33/'Gårdens info'!I33,0)</f>
        <v>0</v>
      </c>
      <c r="G91" s="119" t="s">
        <v>57</v>
      </c>
      <c r="H91" s="503">
        <f>IF('Gårdens info'!G33&gt;0,F91/'Gårdens info'!$G$33,0)</f>
        <v>0</v>
      </c>
      <c r="I91" s="119" t="s">
        <v>206</v>
      </c>
      <c r="J91" s="237">
        <f>F91*'Gårdens info'!D33</f>
        <v>0</v>
      </c>
      <c r="K91" s="119" t="s">
        <v>757</v>
      </c>
      <c r="L91" s="236"/>
      <c r="M91" s="239"/>
      <c r="N91" s="56"/>
      <c r="O91" s="56"/>
      <c r="P91" s="56"/>
      <c r="Q91" s="56"/>
      <c r="R91" s="56"/>
      <c r="S91" s="56"/>
      <c r="T91" s="56"/>
      <c r="U91" s="56"/>
      <c r="Y91" s="56"/>
      <c r="Z91" s="56"/>
    </row>
    <row r="92" spans="1:26" s="5" customFormat="1" ht="15.6" x14ac:dyDescent="0.3">
      <c r="A92" s="356"/>
      <c r="B92" s="286"/>
      <c r="C92" s="262"/>
      <c r="D92" s="262"/>
      <c r="E92" s="262"/>
      <c r="F92" s="263"/>
      <c r="G92" s="243"/>
      <c r="H92" s="264"/>
      <c r="I92" s="243"/>
      <c r="J92" s="258"/>
      <c r="K92" s="243"/>
      <c r="L92" s="265"/>
      <c r="M92" s="259"/>
      <c r="N92" s="69"/>
      <c r="O92" s="69"/>
      <c r="P92" s="69"/>
      <c r="Q92" s="69"/>
      <c r="R92" s="69"/>
      <c r="S92" s="69"/>
      <c r="T92" s="69"/>
      <c r="U92" s="69"/>
      <c r="Y92" s="69"/>
      <c r="Z92" s="69"/>
    </row>
    <row r="93" spans="1:26" s="56" customFormat="1" ht="17.399999999999999" x14ac:dyDescent="0.3">
      <c r="A93" s="357"/>
      <c r="B93" s="501" t="s">
        <v>240</v>
      </c>
      <c r="C93" s="245"/>
      <c r="D93" s="249"/>
      <c r="E93" s="249"/>
      <c r="F93" s="250"/>
      <c r="G93" s="120"/>
      <c r="H93" s="249"/>
      <c r="I93" s="249"/>
      <c r="J93" s="249"/>
      <c r="K93" s="249"/>
      <c r="L93" s="249"/>
      <c r="M93" s="234"/>
      <c r="N93" s="5"/>
      <c r="O93" s="5"/>
      <c r="P93" s="5"/>
      <c r="Q93" s="5"/>
      <c r="R93" s="5"/>
      <c r="S93" s="5"/>
      <c r="T93" s="5"/>
      <c r="U93" s="5"/>
      <c r="Y93" s="5"/>
      <c r="Z93" s="5"/>
    </row>
    <row r="94" spans="1:26" s="69" customFormat="1" ht="17.399999999999999" x14ac:dyDescent="0.3">
      <c r="A94" s="358"/>
      <c r="B94" s="235"/>
      <c r="C94" s="228" t="s">
        <v>192</v>
      </c>
      <c r="D94" s="236"/>
      <c r="E94" s="236"/>
      <c r="F94" s="237">
        <f>IF('Gårdens info'!D33&gt;0,H380,0)</f>
        <v>0</v>
      </c>
      <c r="G94" s="119" t="s">
        <v>57</v>
      </c>
      <c r="H94" s="503">
        <f>IF('Gårdens info'!G33&gt;0,F94/'Gårdens info'!$G$33,0)</f>
        <v>0</v>
      </c>
      <c r="I94" s="119" t="s">
        <v>206</v>
      </c>
      <c r="J94" s="237">
        <f>F94*'Gårdens info'!D33</f>
        <v>0</v>
      </c>
      <c r="K94" s="119" t="s">
        <v>757</v>
      </c>
      <c r="L94" s="236"/>
      <c r="M94" s="239"/>
      <c r="N94" s="56"/>
      <c r="O94" s="56"/>
      <c r="P94" s="56"/>
      <c r="Q94" s="56"/>
      <c r="R94" s="56"/>
      <c r="S94" s="56"/>
      <c r="T94" s="56"/>
      <c r="U94" s="56"/>
      <c r="Y94" s="56"/>
      <c r="Z94" s="56"/>
    </row>
    <row r="95" spans="1:26" s="56" customFormat="1" ht="17.399999999999999" x14ac:dyDescent="0.3">
      <c r="A95" s="357"/>
      <c r="B95" s="248"/>
      <c r="C95" s="245"/>
      <c r="D95" s="249"/>
      <c r="E95" s="249"/>
      <c r="F95" s="250"/>
      <c r="G95" s="120"/>
      <c r="H95" s="249"/>
      <c r="I95" s="249"/>
      <c r="J95" s="249"/>
      <c r="K95" s="249"/>
      <c r="L95" s="249"/>
      <c r="M95" s="234"/>
      <c r="N95" s="69"/>
      <c r="O95" s="69"/>
      <c r="P95" s="69"/>
      <c r="Q95" s="69"/>
      <c r="R95" s="69"/>
      <c r="S95" s="69"/>
      <c r="T95" s="69"/>
      <c r="U95" s="69"/>
      <c r="Y95" s="69"/>
      <c r="Z95" s="69"/>
    </row>
    <row r="96" spans="1:26" ht="27" customHeight="1" x14ac:dyDescent="0.3">
      <c r="B96" s="501" t="s">
        <v>581</v>
      </c>
      <c r="C96" s="245"/>
      <c r="D96" s="246"/>
      <c r="E96" s="246"/>
      <c r="F96" s="246"/>
      <c r="G96" s="246"/>
      <c r="H96" s="246"/>
      <c r="I96" s="246"/>
      <c r="J96" s="246"/>
      <c r="K96" s="246"/>
      <c r="L96" s="246"/>
      <c r="M96" s="226"/>
      <c r="N96" s="56"/>
      <c r="O96" s="56"/>
      <c r="P96" s="56"/>
      <c r="Q96" s="56"/>
      <c r="R96" s="56"/>
      <c r="S96" s="56"/>
      <c r="T96" s="56"/>
      <c r="U96" s="56"/>
      <c r="Y96" s="56"/>
      <c r="Z96" s="56"/>
    </row>
    <row r="97" spans="1:26" s="69" customFormat="1" ht="15" x14ac:dyDescent="0.25">
      <c r="A97" s="358"/>
      <c r="B97" s="235"/>
      <c r="C97" s="228" t="s">
        <v>192</v>
      </c>
      <c r="D97" s="236"/>
      <c r="E97" s="236"/>
      <c r="F97" s="237">
        <f>IF('Gårdens info'!D33&gt;0,H430/'Gårdens info'!I33,0)</f>
        <v>0</v>
      </c>
      <c r="G97" s="119" t="s">
        <v>57</v>
      </c>
      <c r="H97" s="503">
        <f>IF('Gårdens info'!G33&gt;0,F97/'Gårdens info'!$G$33,0)</f>
        <v>0</v>
      </c>
      <c r="I97" s="119" t="s">
        <v>206</v>
      </c>
      <c r="J97" s="237">
        <f>F97*'Gårdens info'!D33</f>
        <v>0</v>
      </c>
      <c r="K97" s="119" t="s">
        <v>757</v>
      </c>
      <c r="L97" s="236"/>
      <c r="M97" s="239"/>
      <c r="N97"/>
      <c r="O97"/>
      <c r="P97"/>
      <c r="Q97"/>
      <c r="R97"/>
      <c r="S97"/>
      <c r="T97"/>
      <c r="U97"/>
      <c r="Y97"/>
      <c r="Z97"/>
    </row>
    <row r="98" spans="1:26" s="5" customFormat="1" ht="21" x14ac:dyDescent="0.4">
      <c r="A98" s="356"/>
      <c r="B98" s="345" t="s">
        <v>194</v>
      </c>
      <c r="C98" s="346"/>
      <c r="D98" s="346"/>
      <c r="E98" s="262"/>
      <c r="F98" s="266">
        <f>F88+F91+F94+F97</f>
        <v>0</v>
      </c>
      <c r="G98" s="267" t="s">
        <v>57</v>
      </c>
      <c r="H98" s="507">
        <f>H88+H91+H94+H97</f>
        <v>0</v>
      </c>
      <c r="I98" s="267" t="s">
        <v>206</v>
      </c>
      <c r="J98" s="269">
        <f>J88+J91+J94+J97</f>
        <v>0</v>
      </c>
      <c r="K98" s="267" t="s">
        <v>757</v>
      </c>
      <c r="L98" s="267"/>
      <c r="M98" s="259"/>
      <c r="N98" s="69"/>
      <c r="O98" s="69"/>
      <c r="P98" s="69"/>
      <c r="Q98" s="69"/>
      <c r="R98" s="69"/>
      <c r="S98" s="69"/>
      <c r="T98" s="69"/>
      <c r="U98" s="69"/>
      <c r="Y98" s="69"/>
      <c r="Z98" s="69"/>
    </row>
    <row r="99" spans="1:26" s="5" customFormat="1" ht="21" x14ac:dyDescent="0.4">
      <c r="A99" s="356"/>
      <c r="B99" s="288"/>
      <c r="C99" s="270"/>
      <c r="D99" s="270"/>
      <c r="E99" s="262"/>
      <c r="F99" s="266"/>
      <c r="G99" s="267"/>
      <c r="H99" s="507"/>
      <c r="I99" s="267"/>
      <c r="J99" s="269"/>
      <c r="K99" s="267"/>
      <c r="L99" s="267"/>
      <c r="M99" s="259"/>
      <c r="Y99" s="69"/>
      <c r="Z99" s="69"/>
    </row>
    <row r="100" spans="1:26" s="5" customFormat="1" ht="21" x14ac:dyDescent="0.4">
      <c r="A100" s="356"/>
      <c r="B100" s="1061" t="s">
        <v>195</v>
      </c>
      <c r="C100" s="1043"/>
      <c r="D100" s="1043"/>
      <c r="E100" s="262"/>
      <c r="F100" s="266">
        <f>F55+F84+F98</f>
        <v>0</v>
      </c>
      <c r="G100" s="267" t="s">
        <v>57</v>
      </c>
      <c r="H100" s="572">
        <f>H55+H84+H98</f>
        <v>0</v>
      </c>
      <c r="I100" s="267" t="s">
        <v>206</v>
      </c>
      <c r="J100" s="266">
        <f>J55+J84+J98</f>
        <v>0</v>
      </c>
      <c r="K100" s="267" t="s">
        <v>757</v>
      </c>
      <c r="L100" s="267"/>
      <c r="M100" s="259"/>
      <c r="Y100" s="69"/>
      <c r="Z100" s="69"/>
    </row>
    <row r="101" spans="1:26" s="5" customFormat="1" ht="21" x14ac:dyDescent="0.4">
      <c r="A101" s="356"/>
      <c r="B101" s="288"/>
      <c r="C101" s="270"/>
      <c r="D101" s="270"/>
      <c r="E101" s="262"/>
      <c r="F101" s="266"/>
      <c r="G101" s="267"/>
      <c r="H101" s="268"/>
      <c r="I101" s="267"/>
      <c r="J101" s="269"/>
      <c r="K101" s="267"/>
      <c r="L101" s="267"/>
      <c r="M101" s="259"/>
    </row>
    <row r="102" spans="1:26" s="5" customFormat="1" ht="21.6" thickBot="1" x14ac:dyDescent="0.45">
      <c r="A102" s="356"/>
      <c r="B102" s="1059" t="s">
        <v>198</v>
      </c>
      <c r="C102" s="1060"/>
      <c r="D102" s="1060"/>
      <c r="E102" s="253"/>
      <c r="F102" s="292">
        <f>F11-F55-F84-F98</f>
        <v>0</v>
      </c>
      <c r="G102" s="293" t="s">
        <v>57</v>
      </c>
      <c r="H102" s="510">
        <f>H11-H55-H84-H98</f>
        <v>11.93</v>
      </c>
      <c r="I102" s="293" t="s">
        <v>206</v>
      </c>
      <c r="J102" s="292">
        <f>J11-J55-J84-J98</f>
        <v>0</v>
      </c>
      <c r="K102" s="293" t="s">
        <v>757</v>
      </c>
      <c r="L102" s="293"/>
      <c r="M102" s="254"/>
    </row>
    <row r="103" spans="1:26" ht="57" customHeight="1" thickBot="1" x14ac:dyDescent="0.45">
      <c r="B103" s="444"/>
      <c r="C103" s="116"/>
      <c r="D103" s="116"/>
      <c r="E103" s="116"/>
      <c r="F103" s="116"/>
      <c r="G103" s="116"/>
      <c r="H103" s="116"/>
      <c r="I103" s="116"/>
      <c r="J103" s="116"/>
      <c r="K103" s="116"/>
      <c r="L103" s="116"/>
      <c r="M103" s="116"/>
      <c r="N103" s="5"/>
      <c r="O103" s="5"/>
      <c r="P103" s="5"/>
      <c r="Q103" s="5"/>
      <c r="R103" s="5"/>
      <c r="S103" s="5"/>
      <c r="T103" s="5"/>
      <c r="U103" s="5"/>
      <c r="Y103" s="5"/>
      <c r="Z103" s="5"/>
    </row>
    <row r="104" spans="1:26" ht="22.95" customHeight="1" thickBot="1" x14ac:dyDescent="0.45">
      <c r="B104" s="1129" t="s">
        <v>564</v>
      </c>
      <c r="C104" s="1130"/>
      <c r="D104" s="1130"/>
      <c r="E104" s="1131"/>
      <c r="F104" s="116"/>
      <c r="G104" s="116"/>
      <c r="H104" s="116"/>
      <c r="I104" s="116"/>
      <c r="J104" s="1140" t="s">
        <v>241</v>
      </c>
      <c r="K104" s="1140"/>
      <c r="L104" s="1140"/>
      <c r="M104" s="116"/>
    </row>
    <row r="105" spans="1:26" ht="28.2" customHeight="1" x14ac:dyDescent="0.4">
      <c r="B105" s="438"/>
      <c r="C105" s="438"/>
      <c r="D105" s="438"/>
      <c r="E105" s="438"/>
      <c r="F105" s="116"/>
      <c r="G105" s="116"/>
      <c r="H105" s="116"/>
      <c r="I105" s="116"/>
      <c r="J105" s="116"/>
      <c r="K105" s="116"/>
      <c r="L105" s="116"/>
      <c r="M105" s="116"/>
    </row>
    <row r="106" spans="1:26" ht="15.6" x14ac:dyDescent="0.3">
      <c r="B106" s="89" t="s">
        <v>592</v>
      </c>
      <c r="C106" s="44"/>
      <c r="D106" s="44"/>
      <c r="E106" s="44"/>
      <c r="F106" s="1077" t="s">
        <v>114</v>
      </c>
      <c r="G106" s="1077"/>
      <c r="H106" s="1077" t="s">
        <v>113</v>
      </c>
      <c r="I106" s="1077"/>
      <c r="J106" s="1077" t="s">
        <v>243</v>
      </c>
      <c r="K106" s="1077"/>
      <c r="L106" s="111" t="s">
        <v>244</v>
      </c>
      <c r="M106" s="46"/>
    </row>
    <row r="107" spans="1:26" ht="13.8" thickBot="1" x14ac:dyDescent="0.3">
      <c r="B107" s="48"/>
      <c r="C107" s="44"/>
      <c r="D107" s="44"/>
      <c r="E107" s="44"/>
      <c r="F107" s="44"/>
      <c r="G107" s="44"/>
      <c r="H107" s="44"/>
      <c r="I107" s="44"/>
      <c r="J107" s="46"/>
      <c r="K107" s="46"/>
      <c r="L107" s="46"/>
      <c r="M107" s="46"/>
    </row>
    <row r="108" spans="1:26" ht="13.8" thickBot="1" x14ac:dyDescent="0.3">
      <c r="B108" s="44"/>
      <c r="C108" s="45" t="s">
        <v>763</v>
      </c>
      <c r="D108" s="46"/>
      <c r="E108" s="44"/>
      <c r="F108" s="94">
        <v>6100</v>
      </c>
      <c r="G108" s="44" t="s">
        <v>647</v>
      </c>
      <c r="H108" s="73">
        <v>3.3</v>
      </c>
      <c r="I108" s="49" t="s">
        <v>74</v>
      </c>
      <c r="J108" s="191">
        <f>F108*H108</f>
        <v>20130</v>
      </c>
      <c r="K108" s="44" t="s">
        <v>57</v>
      </c>
      <c r="L108" s="44" t="s">
        <v>764</v>
      </c>
      <c r="M108" s="46"/>
    </row>
    <row r="109" spans="1:26" ht="13.8" thickBot="1" x14ac:dyDescent="0.3">
      <c r="B109" s="44"/>
      <c r="C109" s="44" t="s">
        <v>596</v>
      </c>
      <c r="D109" s="45"/>
      <c r="E109" s="44"/>
      <c r="F109" s="94"/>
      <c r="G109" s="44" t="s">
        <v>647</v>
      </c>
      <c r="H109" s="73"/>
      <c r="I109" s="49" t="s">
        <v>74</v>
      </c>
      <c r="J109" s="191">
        <f t="shared" ref="J109:J112" si="7">F109*H109</f>
        <v>0</v>
      </c>
      <c r="K109" s="44" t="s">
        <v>57</v>
      </c>
      <c r="L109" s="46"/>
      <c r="M109" s="46"/>
    </row>
    <row r="110" spans="1:26" ht="13.8" thickBot="1" x14ac:dyDescent="0.3">
      <c r="B110" s="44"/>
      <c r="C110" s="44" t="s">
        <v>596</v>
      </c>
      <c r="D110" s="45"/>
      <c r="E110" s="44"/>
      <c r="F110" s="94"/>
      <c r="G110" s="44" t="s">
        <v>647</v>
      </c>
      <c r="H110" s="73"/>
      <c r="I110" s="49" t="s">
        <v>74</v>
      </c>
      <c r="J110" s="191">
        <f t="shared" si="7"/>
        <v>0</v>
      </c>
      <c r="K110" s="44" t="s">
        <v>57</v>
      </c>
      <c r="L110" s="46"/>
      <c r="M110" s="46"/>
    </row>
    <row r="111" spans="1:26" ht="13.8" thickBot="1" x14ac:dyDescent="0.3">
      <c r="B111" s="44"/>
      <c r="C111" s="44"/>
      <c r="D111" s="50"/>
      <c r="E111" s="44"/>
      <c r="F111" s="44"/>
      <c r="G111" s="44"/>
      <c r="H111" s="49"/>
      <c r="I111" s="49"/>
      <c r="J111" s="191"/>
      <c r="K111" s="44"/>
      <c r="L111" s="46"/>
      <c r="M111" s="46"/>
    </row>
    <row r="112" spans="1:26" ht="13.8" thickBot="1" x14ac:dyDescent="0.3">
      <c r="B112" s="44"/>
      <c r="C112" s="44" t="s">
        <v>765</v>
      </c>
      <c r="D112" s="50"/>
      <c r="E112" s="44"/>
      <c r="F112" s="94">
        <v>20</v>
      </c>
      <c r="G112" s="44" t="s">
        <v>8</v>
      </c>
      <c r="H112" s="77">
        <v>4</v>
      </c>
      <c r="I112" s="49" t="s">
        <v>206</v>
      </c>
      <c r="J112" s="191">
        <f t="shared" si="7"/>
        <v>80</v>
      </c>
      <c r="K112" s="44" t="s">
        <v>57</v>
      </c>
      <c r="L112" s="46"/>
      <c r="M112" s="46"/>
    </row>
    <row r="113" spans="1:26" ht="13.8" thickBot="1" x14ac:dyDescent="0.3">
      <c r="B113" s="44"/>
      <c r="C113" s="44" t="s">
        <v>598</v>
      </c>
      <c r="D113" s="50"/>
      <c r="E113" s="44"/>
      <c r="F113" s="94"/>
      <c r="G113" s="44" t="s">
        <v>8</v>
      </c>
      <c r="H113" s="77"/>
      <c r="I113" s="49" t="s">
        <v>206</v>
      </c>
      <c r="J113" s="191"/>
      <c r="K113" s="44" t="s">
        <v>57</v>
      </c>
      <c r="L113" s="46"/>
      <c r="M113" s="46"/>
    </row>
    <row r="114" spans="1:26" s="5" customFormat="1" x14ac:dyDescent="0.25">
      <c r="A114" s="356"/>
      <c r="B114" s="50"/>
      <c r="C114" s="50" t="s">
        <v>54</v>
      </c>
      <c r="D114" s="50"/>
      <c r="E114" s="50"/>
      <c r="F114" s="218"/>
      <c r="G114" s="50"/>
      <c r="H114" s="219"/>
      <c r="I114" s="219"/>
      <c r="J114" s="220">
        <f>SUM(J108:J113)</f>
        <v>20210</v>
      </c>
      <c r="K114" s="50" t="s">
        <v>57</v>
      </c>
      <c r="L114" s="50"/>
      <c r="M114" s="50"/>
      <c r="N114"/>
      <c r="O114"/>
      <c r="P114"/>
      <c r="Q114"/>
      <c r="R114"/>
      <c r="S114"/>
      <c r="T114"/>
      <c r="U114"/>
      <c r="Y114"/>
      <c r="Z114"/>
    </row>
    <row r="115" spans="1:26" x14ac:dyDescent="0.25">
      <c r="B115" s="44"/>
      <c r="C115" s="44"/>
      <c r="D115" s="50"/>
      <c r="E115" s="44"/>
      <c r="F115" s="47"/>
      <c r="G115" s="44"/>
      <c r="H115" s="49"/>
      <c r="I115" s="49"/>
      <c r="J115" s="46"/>
      <c r="K115" s="44"/>
      <c r="L115" s="46"/>
      <c r="M115" s="46"/>
      <c r="N115" s="5"/>
      <c r="O115" s="5"/>
      <c r="P115" s="5"/>
      <c r="Q115" s="5"/>
      <c r="R115" s="5"/>
      <c r="S115" s="5"/>
      <c r="T115" s="5"/>
      <c r="U115" s="5"/>
      <c r="Y115" s="5"/>
      <c r="Z115" s="5"/>
    </row>
    <row r="116" spans="1:26" ht="37.200000000000003" customHeight="1" x14ac:dyDescent="0.25">
      <c r="B116" s="435"/>
      <c r="C116" s="435"/>
      <c r="D116" s="436"/>
      <c r="E116" s="435"/>
      <c r="F116" s="435"/>
      <c r="G116" s="435"/>
      <c r="H116" s="437"/>
      <c r="I116" s="437"/>
      <c r="J116" s="116"/>
      <c r="K116" s="116"/>
      <c r="L116" s="116"/>
      <c r="M116" s="116"/>
    </row>
    <row r="117" spans="1:26" ht="15.6" x14ac:dyDescent="0.3">
      <c r="B117" s="96" t="s">
        <v>672</v>
      </c>
      <c r="C117" s="97"/>
      <c r="D117" s="97"/>
      <c r="E117" s="97"/>
      <c r="F117" s="1074" t="s">
        <v>114</v>
      </c>
      <c r="G117" s="1074"/>
      <c r="H117" s="1074" t="s">
        <v>113</v>
      </c>
      <c r="I117" s="1074"/>
      <c r="J117" s="1074" t="s">
        <v>243</v>
      </c>
      <c r="K117" s="1074"/>
      <c r="L117" s="99"/>
      <c r="M117" s="99"/>
    </row>
    <row r="118" spans="1:26" ht="13.8" thickBot="1" x14ac:dyDescent="0.3">
      <c r="B118" s="97"/>
      <c r="C118" s="97"/>
      <c r="D118" s="97"/>
      <c r="E118" s="97"/>
      <c r="F118" s="97"/>
      <c r="G118" s="97"/>
      <c r="H118" s="98"/>
      <c r="I118" s="98"/>
      <c r="J118" s="99"/>
      <c r="K118" s="99"/>
      <c r="L118" s="99"/>
      <c r="M118" s="99"/>
    </row>
    <row r="119" spans="1:26" ht="13.8" thickBot="1" x14ac:dyDescent="0.3">
      <c r="B119" s="97"/>
      <c r="C119" s="97" t="s">
        <v>358</v>
      </c>
      <c r="D119" s="99"/>
      <c r="E119" s="97"/>
      <c r="F119" s="94">
        <v>300</v>
      </c>
      <c r="G119" s="97" t="s">
        <v>212</v>
      </c>
      <c r="H119" s="77">
        <v>0.95</v>
      </c>
      <c r="I119" s="98" t="s">
        <v>206</v>
      </c>
      <c r="J119" s="190">
        <f>F119*H119</f>
        <v>285</v>
      </c>
      <c r="K119" s="97" t="s">
        <v>57</v>
      </c>
      <c r="L119" s="99"/>
      <c r="M119" s="99"/>
    </row>
    <row r="120" spans="1:26" ht="13.8" thickBot="1" x14ac:dyDescent="0.3">
      <c r="B120" s="97"/>
      <c r="C120" s="97" t="s">
        <v>673</v>
      </c>
      <c r="D120" s="99"/>
      <c r="E120" s="97"/>
      <c r="F120" s="94">
        <v>600</v>
      </c>
      <c r="G120" s="97" t="s">
        <v>674</v>
      </c>
      <c r="H120" s="77">
        <v>13</v>
      </c>
      <c r="I120" s="98" t="s">
        <v>415</v>
      </c>
      <c r="J120" s="190">
        <f t="shared" ref="J120:J122" si="8">F120*H120</f>
        <v>7800</v>
      </c>
      <c r="K120" s="97" t="s">
        <v>57</v>
      </c>
      <c r="L120" s="99"/>
      <c r="M120" s="99"/>
    </row>
    <row r="121" spans="1:26" ht="13.8" thickBot="1" x14ac:dyDescent="0.3">
      <c r="B121" s="97"/>
      <c r="C121" s="97" t="s">
        <v>251</v>
      </c>
      <c r="D121" s="97"/>
      <c r="E121" s="97"/>
      <c r="F121" s="74"/>
      <c r="G121" s="97" t="s">
        <v>212</v>
      </c>
      <c r="H121" s="77"/>
      <c r="I121" s="98" t="s">
        <v>206</v>
      </c>
      <c r="J121" s="190">
        <f t="shared" si="8"/>
        <v>0</v>
      </c>
      <c r="K121" s="97" t="s">
        <v>57</v>
      </c>
      <c r="L121" s="99"/>
      <c r="M121" s="99"/>
    </row>
    <row r="122" spans="1:26" ht="13.8" thickBot="1" x14ac:dyDescent="0.3">
      <c r="B122" s="97"/>
      <c r="C122" s="97" t="s">
        <v>251</v>
      </c>
      <c r="D122" s="97"/>
      <c r="E122" s="97"/>
      <c r="F122" s="74"/>
      <c r="G122" s="97" t="s">
        <v>212</v>
      </c>
      <c r="H122" s="76"/>
      <c r="I122" s="98" t="s">
        <v>206</v>
      </c>
      <c r="J122" s="190">
        <f t="shared" si="8"/>
        <v>0</v>
      </c>
      <c r="K122" s="97" t="s">
        <v>57</v>
      </c>
      <c r="L122" s="99"/>
      <c r="M122" s="99"/>
    </row>
    <row r="123" spans="1:26" s="5" customFormat="1" x14ac:dyDescent="0.25">
      <c r="A123" s="356"/>
      <c r="B123" s="214"/>
      <c r="C123" s="214" t="s">
        <v>54</v>
      </c>
      <c r="D123" s="214"/>
      <c r="E123" s="214"/>
      <c r="F123" s="214"/>
      <c r="G123" s="214"/>
      <c r="H123" s="216"/>
      <c r="I123" s="215"/>
      <c r="J123" s="217">
        <f>SUM(J119:J122)</f>
        <v>8085</v>
      </c>
      <c r="K123" s="214" t="s">
        <v>57</v>
      </c>
      <c r="L123" s="214"/>
      <c r="M123" s="214"/>
      <c r="N123"/>
      <c r="O123"/>
      <c r="P123"/>
      <c r="Q123"/>
      <c r="R123"/>
      <c r="S123"/>
      <c r="T123"/>
      <c r="U123"/>
      <c r="Y123"/>
      <c r="Z123"/>
    </row>
    <row r="124" spans="1:26" x14ac:dyDescent="0.25">
      <c r="B124" s="97"/>
      <c r="C124" s="97"/>
      <c r="D124" s="97"/>
      <c r="E124" s="97"/>
      <c r="F124" s="97"/>
      <c r="G124" s="97"/>
      <c r="H124" s="98"/>
      <c r="I124" s="98"/>
      <c r="J124" s="99"/>
      <c r="K124" s="99"/>
      <c r="L124" s="99"/>
      <c r="M124" s="99"/>
      <c r="N124" s="5"/>
      <c r="O124" s="5"/>
      <c r="P124" s="5"/>
      <c r="Q124" s="5"/>
      <c r="R124" s="5"/>
      <c r="S124" s="5"/>
      <c r="T124" s="5"/>
      <c r="U124" s="5"/>
      <c r="Y124" s="5"/>
      <c r="Z124" s="5"/>
    </row>
    <row r="125" spans="1:26" ht="33" customHeight="1" x14ac:dyDescent="0.25">
      <c r="B125" s="435"/>
      <c r="C125" s="435"/>
      <c r="D125" s="435"/>
      <c r="E125" s="435"/>
      <c r="F125" s="435"/>
      <c r="G125" s="435"/>
      <c r="H125" s="437"/>
      <c r="I125" s="437"/>
      <c r="J125" s="116"/>
      <c r="K125" s="116"/>
      <c r="L125" s="116"/>
      <c r="M125" s="116"/>
    </row>
    <row r="126" spans="1:26" ht="15.6" x14ac:dyDescent="0.3">
      <c r="B126" s="85" t="s">
        <v>675</v>
      </c>
      <c r="C126" s="51"/>
      <c r="D126" s="51"/>
      <c r="E126" s="51"/>
      <c r="F126" s="1075" t="s">
        <v>114</v>
      </c>
      <c r="G126" s="1075"/>
      <c r="H126" s="1076" t="s">
        <v>113</v>
      </c>
      <c r="I126" s="1076"/>
      <c r="J126" s="1075" t="s">
        <v>243</v>
      </c>
      <c r="K126" s="1075"/>
      <c r="L126" s="58"/>
      <c r="M126" s="58"/>
    </row>
    <row r="127" spans="1:26" ht="15.6" x14ac:dyDescent="0.3">
      <c r="B127" s="85"/>
      <c r="C127" s="51"/>
      <c r="D127" s="387" t="s">
        <v>253</v>
      </c>
      <c r="E127" s="51"/>
      <c r="F127" s="59"/>
      <c r="G127" s="59"/>
      <c r="H127" s="60"/>
      <c r="I127" s="60"/>
      <c r="J127" s="59"/>
      <c r="K127" s="59"/>
      <c r="L127" s="58"/>
      <c r="M127" s="58"/>
    </row>
    <row r="128" spans="1:26" ht="13.8" thickBot="1" x14ac:dyDescent="0.3">
      <c r="B128" s="171" t="s">
        <v>254</v>
      </c>
      <c r="C128" s="51"/>
      <c r="D128" s="51"/>
      <c r="E128" s="51"/>
      <c r="F128" s="53"/>
      <c r="G128" s="53"/>
      <c r="H128" s="52"/>
      <c r="I128" s="52"/>
      <c r="J128" s="58"/>
      <c r="K128" s="58"/>
      <c r="L128" s="58"/>
      <c r="M128" s="58"/>
    </row>
    <row r="129" spans="1:26" ht="13.8" thickBot="1" x14ac:dyDescent="0.3">
      <c r="B129" s="51"/>
      <c r="C129" s="51" t="s">
        <v>603</v>
      </c>
      <c r="D129" s="58"/>
      <c r="E129" s="51"/>
      <c r="F129" s="95">
        <v>3.3</v>
      </c>
      <c r="G129" s="53" t="s">
        <v>256</v>
      </c>
      <c r="H129" s="77">
        <v>16.8</v>
      </c>
      <c r="I129" s="52" t="s">
        <v>257</v>
      </c>
      <c r="J129" s="58">
        <f>F129*H129</f>
        <v>55.44</v>
      </c>
      <c r="K129" s="51" t="s">
        <v>57</v>
      </c>
      <c r="L129" s="58"/>
      <c r="M129" s="58"/>
    </row>
    <row r="130" spans="1:26" ht="13.8" thickBot="1" x14ac:dyDescent="0.3">
      <c r="B130" s="51"/>
      <c r="C130" s="51" t="s">
        <v>265</v>
      </c>
      <c r="D130" s="51"/>
      <c r="E130" s="51"/>
      <c r="F130" s="95"/>
      <c r="G130" s="53" t="s">
        <v>256</v>
      </c>
      <c r="H130" s="77"/>
      <c r="I130" s="52" t="s">
        <v>257</v>
      </c>
      <c r="J130" s="58">
        <f t="shared" ref="J130:J136" si="9">F130*H130</f>
        <v>0</v>
      </c>
      <c r="K130" s="51" t="s">
        <v>57</v>
      </c>
      <c r="L130" s="58"/>
      <c r="M130" s="58"/>
    </row>
    <row r="131" spans="1:26" ht="13.8" thickBot="1" x14ac:dyDescent="0.3">
      <c r="B131" s="51"/>
      <c r="C131" s="51" t="s">
        <v>265</v>
      </c>
      <c r="D131" s="51"/>
      <c r="E131" s="51"/>
      <c r="F131" s="95"/>
      <c r="G131" s="53" t="s">
        <v>256</v>
      </c>
      <c r="H131" s="77"/>
      <c r="I131" s="52" t="s">
        <v>257</v>
      </c>
      <c r="J131" s="58">
        <f t="shared" si="9"/>
        <v>0</v>
      </c>
      <c r="K131" s="51" t="s">
        <v>57</v>
      </c>
      <c r="L131" s="58"/>
      <c r="M131" s="58"/>
    </row>
    <row r="132" spans="1:26" x14ac:dyDescent="0.25">
      <c r="B132" s="51"/>
      <c r="C132" s="51"/>
      <c r="D132" s="51"/>
      <c r="E132" s="51"/>
      <c r="F132" s="53"/>
      <c r="G132" s="53"/>
      <c r="H132" s="52"/>
      <c r="I132" s="52"/>
      <c r="J132" s="58"/>
      <c r="K132" s="51"/>
      <c r="L132" s="58"/>
      <c r="M132" s="58"/>
    </row>
    <row r="133" spans="1:26" ht="13.8" thickBot="1" x14ac:dyDescent="0.3">
      <c r="B133" s="171" t="s">
        <v>266</v>
      </c>
      <c r="C133" s="51"/>
      <c r="D133" s="51"/>
      <c r="E133" s="51"/>
      <c r="F133" s="53"/>
      <c r="G133" s="53"/>
      <c r="H133" s="52"/>
      <c r="I133" s="52"/>
      <c r="J133" s="58"/>
      <c r="K133" s="51"/>
      <c r="L133" s="58"/>
      <c r="M133" s="58"/>
    </row>
    <row r="134" spans="1:26" ht="13.8" thickBot="1" x14ac:dyDescent="0.3">
      <c r="B134" s="51"/>
      <c r="C134" s="51" t="s">
        <v>267</v>
      </c>
      <c r="D134" s="51"/>
      <c r="E134" s="51"/>
      <c r="F134" s="95"/>
      <c r="G134" s="53"/>
      <c r="H134" s="95"/>
      <c r="I134" s="52"/>
      <c r="J134" s="58">
        <f t="shared" si="9"/>
        <v>0</v>
      </c>
      <c r="K134" s="51" t="s">
        <v>57</v>
      </c>
      <c r="L134" s="58"/>
      <c r="M134" s="58"/>
    </row>
    <row r="135" spans="1:26" ht="13.8" thickBot="1" x14ac:dyDescent="0.3">
      <c r="B135" s="51"/>
      <c r="C135" s="51" t="s">
        <v>267</v>
      </c>
      <c r="D135" s="51"/>
      <c r="E135" s="51"/>
      <c r="F135" s="95"/>
      <c r="G135" s="53"/>
      <c r="H135" s="95"/>
      <c r="I135" s="52"/>
      <c r="J135" s="58">
        <f t="shared" si="9"/>
        <v>0</v>
      </c>
      <c r="K135" s="51" t="s">
        <v>57</v>
      </c>
      <c r="L135" s="58"/>
      <c r="M135" s="58"/>
    </row>
    <row r="136" spans="1:26" ht="13.8" thickBot="1" x14ac:dyDescent="0.3">
      <c r="B136" s="51"/>
      <c r="C136" s="51" t="s">
        <v>267</v>
      </c>
      <c r="D136" s="51"/>
      <c r="E136" s="51"/>
      <c r="F136" s="95"/>
      <c r="G136" s="53"/>
      <c r="H136" s="95"/>
      <c r="I136" s="52"/>
      <c r="J136" s="58">
        <f t="shared" si="9"/>
        <v>0</v>
      </c>
      <c r="K136" s="51" t="s">
        <v>57</v>
      </c>
      <c r="L136" s="58"/>
      <c r="M136" s="58"/>
    </row>
    <row r="137" spans="1:26" s="5" customFormat="1" x14ac:dyDescent="0.25">
      <c r="A137" s="356"/>
      <c r="B137" s="195"/>
      <c r="C137" s="195" t="s">
        <v>54</v>
      </c>
      <c r="D137" s="195"/>
      <c r="E137" s="195"/>
      <c r="F137" s="196"/>
      <c r="G137" s="196"/>
      <c r="H137" s="196"/>
      <c r="I137" s="197"/>
      <c r="J137" s="195">
        <f>SUM(J129:J136)</f>
        <v>55.44</v>
      </c>
      <c r="K137" s="195" t="s">
        <v>57</v>
      </c>
      <c r="L137" s="195"/>
      <c r="M137" s="195"/>
      <c r="N137"/>
      <c r="O137"/>
      <c r="P137"/>
      <c r="Q137"/>
      <c r="R137"/>
      <c r="S137"/>
      <c r="T137"/>
      <c r="U137"/>
      <c r="Y137"/>
      <c r="Z137"/>
    </row>
    <row r="138" spans="1:26" x14ac:dyDescent="0.25">
      <c r="B138" s="51"/>
      <c r="C138" s="51"/>
      <c r="D138" s="51"/>
      <c r="E138" s="51"/>
      <c r="F138" s="53"/>
      <c r="G138" s="53"/>
      <c r="H138" s="52"/>
      <c r="I138" s="52"/>
      <c r="J138" s="58"/>
      <c r="K138" s="51"/>
      <c r="L138" s="58"/>
      <c r="M138" s="58"/>
      <c r="N138" s="5"/>
      <c r="O138" s="5"/>
      <c r="P138" s="5"/>
      <c r="Q138" s="5"/>
      <c r="R138" s="5"/>
      <c r="S138" s="5"/>
      <c r="T138" s="5"/>
      <c r="U138" s="5"/>
      <c r="Y138" s="5"/>
      <c r="Z138" s="5"/>
    </row>
    <row r="139" spans="1:26" ht="30" customHeight="1" x14ac:dyDescent="0.25">
      <c r="B139" s="435"/>
      <c r="C139" s="435"/>
      <c r="D139" s="435"/>
      <c r="E139" s="435"/>
      <c r="F139" s="439"/>
      <c r="G139" s="439"/>
      <c r="H139" s="437"/>
      <c r="I139" s="437"/>
      <c r="J139" s="116"/>
      <c r="K139" s="435"/>
      <c r="L139" s="116"/>
      <c r="M139" s="116"/>
    </row>
    <row r="140" spans="1:26" ht="15.6" x14ac:dyDescent="0.3">
      <c r="B140" s="176" t="s">
        <v>730</v>
      </c>
      <c r="C140" s="177"/>
      <c r="D140" s="177"/>
      <c r="E140" s="177"/>
      <c r="F140" s="1067" t="s">
        <v>114</v>
      </c>
      <c r="G140" s="1067"/>
      <c r="H140" s="1067" t="s">
        <v>113</v>
      </c>
      <c r="I140" s="1067"/>
      <c r="J140" s="1067" t="s">
        <v>243</v>
      </c>
      <c r="K140" s="1067"/>
      <c r="L140" s="179"/>
      <c r="M140" s="179"/>
    </row>
    <row r="141" spans="1:26" ht="13.8" thickBot="1" x14ac:dyDescent="0.3">
      <c r="B141" s="177"/>
      <c r="C141" s="177"/>
      <c r="D141" s="177"/>
      <c r="E141" s="177"/>
      <c r="F141" s="177"/>
      <c r="G141" s="177"/>
      <c r="H141" s="178"/>
      <c r="I141" s="178"/>
      <c r="J141" s="179"/>
      <c r="K141" s="179"/>
      <c r="L141" s="179"/>
      <c r="M141" s="179"/>
    </row>
    <row r="142" spans="1:26" ht="13.8" thickBot="1" x14ac:dyDescent="0.3">
      <c r="B142" s="177"/>
      <c r="C142" s="177" t="s">
        <v>276</v>
      </c>
      <c r="D142" s="179"/>
      <c r="E142" s="177"/>
      <c r="F142" s="74"/>
      <c r="G142" s="177" t="s">
        <v>7</v>
      </c>
      <c r="H142" s="77"/>
      <c r="I142" s="178" t="s">
        <v>57</v>
      </c>
      <c r="J142" s="180">
        <f t="shared" ref="J142:J144" si="10">F142*H142</f>
        <v>0</v>
      </c>
      <c r="K142" s="177" t="s">
        <v>57</v>
      </c>
      <c r="L142" s="179"/>
      <c r="M142" s="179"/>
    </row>
    <row r="143" spans="1:26" ht="13.8" thickBot="1" x14ac:dyDescent="0.3">
      <c r="B143" s="177"/>
      <c r="C143" s="177" t="s">
        <v>276</v>
      </c>
      <c r="D143" s="177"/>
      <c r="E143" s="177"/>
      <c r="F143" s="74"/>
      <c r="G143" s="177" t="s">
        <v>7</v>
      </c>
      <c r="H143" s="77"/>
      <c r="I143" s="178" t="s">
        <v>57</v>
      </c>
      <c r="J143" s="180">
        <f t="shared" si="10"/>
        <v>0</v>
      </c>
      <c r="K143" s="177" t="s">
        <v>57</v>
      </c>
      <c r="L143" s="179"/>
      <c r="M143" s="179"/>
    </row>
    <row r="144" spans="1:26" ht="13.8" thickBot="1" x14ac:dyDescent="0.3">
      <c r="B144" s="177"/>
      <c r="C144" s="177" t="s">
        <v>276</v>
      </c>
      <c r="D144" s="177"/>
      <c r="E144" s="177"/>
      <c r="F144" s="74"/>
      <c r="G144" s="177" t="s">
        <v>7</v>
      </c>
      <c r="H144" s="77"/>
      <c r="I144" s="178" t="s">
        <v>57</v>
      </c>
      <c r="J144" s="180">
        <f t="shared" si="10"/>
        <v>0</v>
      </c>
      <c r="K144" s="177" t="s">
        <v>57</v>
      </c>
      <c r="L144" s="179"/>
      <c r="M144" s="179"/>
    </row>
    <row r="145" spans="1:26" s="5" customFormat="1" x14ac:dyDescent="0.25">
      <c r="A145" s="356"/>
      <c r="B145" s="204"/>
      <c r="C145" s="204" t="s">
        <v>54</v>
      </c>
      <c r="D145" s="204"/>
      <c r="E145" s="204"/>
      <c r="F145" s="204"/>
      <c r="G145" s="204"/>
      <c r="H145" s="205"/>
      <c r="I145" s="205"/>
      <c r="J145" s="206">
        <f>SUM(J142:J144)</f>
        <v>0</v>
      </c>
      <c r="K145" s="204" t="s">
        <v>57</v>
      </c>
      <c r="L145" s="204"/>
      <c r="M145" s="204"/>
      <c r="N145"/>
      <c r="O145"/>
      <c r="P145"/>
      <c r="Q145"/>
      <c r="R145"/>
      <c r="S145"/>
      <c r="T145"/>
      <c r="U145"/>
      <c r="Y145"/>
      <c r="Z145"/>
    </row>
    <row r="146" spans="1:26" x14ac:dyDescent="0.25">
      <c r="B146" s="177"/>
      <c r="C146" s="177"/>
      <c r="D146" s="177"/>
      <c r="E146" s="177"/>
      <c r="F146" s="177"/>
      <c r="G146" s="177"/>
      <c r="H146" s="178"/>
      <c r="I146" s="178"/>
      <c r="J146" s="180"/>
      <c r="K146" s="177"/>
      <c r="L146" s="179"/>
      <c r="M146" s="179"/>
      <c r="N146" s="5"/>
      <c r="O146" s="5"/>
      <c r="P146" s="5"/>
      <c r="Q146" s="5"/>
      <c r="R146" s="5"/>
      <c r="S146" s="5"/>
      <c r="T146" s="5"/>
      <c r="U146" s="5"/>
      <c r="Y146" s="5"/>
      <c r="Z146" s="5"/>
    </row>
    <row r="147" spans="1:26" ht="33" customHeight="1" x14ac:dyDescent="0.25">
      <c r="B147" s="116"/>
      <c r="C147" s="116"/>
      <c r="D147" s="116"/>
      <c r="E147" s="116"/>
      <c r="F147" s="116"/>
      <c r="G147" s="116"/>
      <c r="H147" s="116"/>
      <c r="I147" s="116"/>
      <c r="J147" s="116"/>
      <c r="K147" s="116"/>
      <c r="L147" s="116"/>
      <c r="M147" s="116"/>
    </row>
    <row r="148" spans="1:26" ht="15.6" x14ac:dyDescent="0.3">
      <c r="B148" s="181" t="s">
        <v>605</v>
      </c>
      <c r="C148" s="182"/>
      <c r="D148" s="182"/>
      <c r="E148" s="183"/>
      <c r="F148" s="182" t="s">
        <v>114</v>
      </c>
      <c r="G148" s="184"/>
      <c r="H148" s="184" t="s">
        <v>113</v>
      </c>
      <c r="I148" s="182"/>
      <c r="J148" s="182" t="s">
        <v>243</v>
      </c>
      <c r="K148" s="185"/>
      <c r="L148" s="185"/>
      <c r="M148" s="185"/>
    </row>
    <row r="149" spans="1:26" ht="16.2" thickBot="1" x14ac:dyDescent="0.35">
      <c r="B149" s="181"/>
      <c r="C149" s="182"/>
      <c r="D149" s="182"/>
      <c r="E149" s="183"/>
      <c r="F149" s="182"/>
      <c r="G149" s="184"/>
      <c r="H149" s="184"/>
      <c r="I149" s="182"/>
      <c r="J149" s="182"/>
      <c r="K149" s="185"/>
      <c r="L149" s="185"/>
      <c r="M149" s="185"/>
    </row>
    <row r="150" spans="1:26" ht="13.8" thickBot="1" x14ac:dyDescent="0.3">
      <c r="B150" s="182"/>
      <c r="C150" s="182" t="s">
        <v>278</v>
      </c>
      <c r="D150" s="185"/>
      <c r="E150" s="186"/>
      <c r="F150" s="74"/>
      <c r="G150" s="187" t="s">
        <v>279</v>
      </c>
      <c r="H150" s="74"/>
      <c r="I150" s="188" t="s">
        <v>280</v>
      </c>
      <c r="J150" s="185">
        <f>H150*F150</f>
        <v>0</v>
      </c>
      <c r="K150" s="188" t="s">
        <v>57</v>
      </c>
      <c r="L150" s="185"/>
      <c r="M150" s="185"/>
    </row>
    <row r="151" spans="1:26" ht="13.8" thickBot="1" x14ac:dyDescent="0.3">
      <c r="B151" s="182"/>
      <c r="C151" s="182" t="s">
        <v>281</v>
      </c>
      <c r="D151" s="188">
        <f>F181/2</f>
        <v>59.75</v>
      </c>
      <c r="E151" s="182" t="s">
        <v>282</v>
      </c>
      <c r="F151" s="74">
        <f>+D151*8</f>
        <v>478</v>
      </c>
      <c r="G151" s="184" t="s">
        <v>256</v>
      </c>
      <c r="H151" s="74">
        <v>0.83</v>
      </c>
      <c r="I151" s="188" t="s">
        <v>257</v>
      </c>
      <c r="J151" s="185">
        <f>H151*F151</f>
        <v>396.74</v>
      </c>
      <c r="K151" s="188" t="s">
        <v>57</v>
      </c>
      <c r="L151" s="185"/>
      <c r="M151" s="185"/>
    </row>
    <row r="152" spans="1:26" ht="13.8" thickBot="1" x14ac:dyDescent="0.3">
      <c r="B152" s="182"/>
      <c r="C152" s="182" t="s">
        <v>686</v>
      </c>
      <c r="D152" s="188">
        <f>D151</f>
        <v>59.75</v>
      </c>
      <c r="E152" s="182" t="s">
        <v>282</v>
      </c>
      <c r="F152" s="74">
        <v>11.88</v>
      </c>
      <c r="G152" s="184" t="s">
        <v>212</v>
      </c>
      <c r="H152" s="74">
        <v>4</v>
      </c>
      <c r="I152" s="188" t="s">
        <v>206</v>
      </c>
      <c r="J152" s="185">
        <f t="shared" ref="J152:J156" si="11">H152*F152</f>
        <v>47.52</v>
      </c>
      <c r="K152" s="188" t="s">
        <v>57</v>
      </c>
      <c r="L152" s="185"/>
      <c r="M152" s="185"/>
    </row>
    <row r="153" spans="1:26" ht="13.8" thickBot="1" x14ac:dyDescent="0.3">
      <c r="B153" s="182"/>
      <c r="C153" s="182" t="s">
        <v>284</v>
      </c>
      <c r="D153" s="185"/>
      <c r="E153" s="188"/>
      <c r="F153" s="74">
        <v>200</v>
      </c>
      <c r="G153" s="184" t="s">
        <v>256</v>
      </c>
      <c r="H153" s="74">
        <v>1.53</v>
      </c>
      <c r="I153" s="188" t="s">
        <v>257</v>
      </c>
      <c r="J153" s="185">
        <f t="shared" si="11"/>
        <v>306</v>
      </c>
      <c r="K153" s="188" t="s">
        <v>57</v>
      </c>
      <c r="L153" s="185"/>
      <c r="M153" s="185"/>
    </row>
    <row r="154" spans="1:26" ht="13.8" thickBot="1" x14ac:dyDescent="0.3">
      <c r="B154" s="182"/>
      <c r="C154" s="182" t="s">
        <v>285</v>
      </c>
      <c r="D154" s="185"/>
      <c r="E154" s="188"/>
      <c r="F154" s="74">
        <v>1.48</v>
      </c>
      <c r="G154" s="184" t="s">
        <v>256</v>
      </c>
      <c r="H154" s="74">
        <v>1.6</v>
      </c>
      <c r="I154" s="188" t="s">
        <v>257</v>
      </c>
      <c r="J154" s="185">
        <f t="shared" si="11"/>
        <v>2.3679999999999999</v>
      </c>
      <c r="K154" s="188" t="s">
        <v>57</v>
      </c>
      <c r="L154" s="185"/>
      <c r="M154" s="185"/>
    </row>
    <row r="155" spans="1:26" ht="13.8" thickBot="1" x14ac:dyDescent="0.3">
      <c r="B155" s="182"/>
      <c r="C155" s="182" t="s">
        <v>423</v>
      </c>
      <c r="D155" s="185"/>
      <c r="E155" s="188"/>
      <c r="F155" s="74"/>
      <c r="G155" s="184"/>
      <c r="H155" s="74"/>
      <c r="I155" s="188"/>
      <c r="J155" s="185">
        <f t="shared" ref="J155" si="12">H155*F155</f>
        <v>0</v>
      </c>
      <c r="K155" s="188" t="s">
        <v>57</v>
      </c>
      <c r="L155" s="185"/>
      <c r="M155" s="185"/>
    </row>
    <row r="156" spans="1:26" ht="13.8" thickBot="1" x14ac:dyDescent="0.3">
      <c r="B156" s="185"/>
      <c r="C156" s="207" t="s">
        <v>423</v>
      </c>
      <c r="D156" s="185"/>
      <c r="E156" s="185"/>
      <c r="F156" s="74"/>
      <c r="G156" s="185"/>
      <c r="H156" s="74"/>
      <c r="I156" s="185"/>
      <c r="J156" s="185">
        <f t="shared" si="11"/>
        <v>0</v>
      </c>
      <c r="K156" s="188" t="s">
        <v>57</v>
      </c>
      <c r="L156" s="185"/>
      <c r="M156" s="185"/>
    </row>
    <row r="157" spans="1:26" s="5" customFormat="1" x14ac:dyDescent="0.25">
      <c r="A157" s="356"/>
      <c r="B157" s="207"/>
      <c r="C157" s="207" t="s">
        <v>54</v>
      </c>
      <c r="D157" s="207"/>
      <c r="E157" s="207"/>
      <c r="F157" s="207"/>
      <c r="G157" s="207"/>
      <c r="H157" s="207"/>
      <c r="I157" s="207"/>
      <c r="J157" s="207">
        <f>SUM(J150:J156)</f>
        <v>752.62800000000004</v>
      </c>
      <c r="K157" s="208" t="s">
        <v>57</v>
      </c>
      <c r="L157" s="207"/>
      <c r="M157" s="207"/>
      <c r="N157"/>
      <c r="O157"/>
      <c r="P157"/>
      <c r="Q157"/>
      <c r="R157"/>
      <c r="S157"/>
      <c r="T157"/>
      <c r="U157"/>
      <c r="Y157"/>
      <c r="Z157"/>
    </row>
    <row r="158" spans="1:26" x14ac:dyDescent="0.25">
      <c r="B158" s="185"/>
      <c r="C158" s="185"/>
      <c r="D158" s="185"/>
      <c r="E158" s="185"/>
      <c r="F158" s="185"/>
      <c r="G158" s="185"/>
      <c r="H158" s="185"/>
      <c r="I158" s="185"/>
      <c r="J158" s="185"/>
      <c r="K158" s="185"/>
      <c r="L158" s="185"/>
      <c r="M158" s="185"/>
      <c r="N158" s="5"/>
      <c r="O158" s="5"/>
      <c r="P158" s="5"/>
      <c r="Q158" s="5"/>
      <c r="R158" s="5"/>
      <c r="S158" s="5"/>
      <c r="T158" s="5"/>
      <c r="U158" s="5"/>
      <c r="Y158" s="5"/>
      <c r="Z158" s="5"/>
    </row>
    <row r="159" spans="1:26" ht="34.950000000000003" customHeight="1" x14ac:dyDescent="0.25">
      <c r="B159" s="116"/>
      <c r="C159" s="116"/>
      <c r="D159" s="116"/>
      <c r="E159" s="116"/>
      <c r="F159" s="116"/>
      <c r="G159" s="116"/>
      <c r="H159" s="116"/>
      <c r="I159" s="116"/>
      <c r="J159" s="116"/>
      <c r="K159" s="116"/>
      <c r="L159" s="116"/>
      <c r="M159" s="116"/>
    </row>
    <row r="160" spans="1:26" ht="22.2" customHeight="1" x14ac:dyDescent="0.3">
      <c r="B160" s="88" t="s">
        <v>606</v>
      </c>
      <c r="C160" s="79"/>
      <c r="D160" s="79"/>
      <c r="E160" s="79"/>
      <c r="F160" s="79"/>
      <c r="G160" s="79"/>
      <c r="H160" s="79"/>
      <c r="I160" s="79"/>
      <c r="J160" s="79"/>
      <c r="K160" s="79"/>
      <c r="L160" s="79"/>
      <c r="M160" s="79"/>
    </row>
    <row r="161" spans="2:13" ht="22.2" customHeight="1" x14ac:dyDescent="0.3">
      <c r="B161" s="88"/>
      <c r="C161" s="79"/>
      <c r="D161" s="79"/>
      <c r="E161" s="79"/>
      <c r="F161" s="79"/>
      <c r="G161" s="79"/>
      <c r="H161" s="79"/>
      <c r="I161" s="79"/>
      <c r="J161" s="79"/>
      <c r="K161" s="79"/>
      <c r="L161" s="79"/>
      <c r="M161" s="79"/>
    </row>
    <row r="162" spans="2:13" ht="49.95" customHeight="1" x14ac:dyDescent="0.25">
      <c r="B162" s="1096" t="s">
        <v>699</v>
      </c>
      <c r="C162" s="1096"/>
      <c r="D162" s="1096"/>
      <c r="E162" s="1096"/>
      <c r="F162" s="1096"/>
      <c r="G162" s="1096"/>
      <c r="H162" s="1096"/>
      <c r="I162" s="1096"/>
      <c r="J162" s="1096"/>
      <c r="K162" s="1096"/>
      <c r="L162" s="1096"/>
      <c r="M162" s="1096"/>
    </row>
    <row r="163" spans="2:13" ht="22.2" customHeight="1" x14ac:dyDescent="0.3">
      <c r="B163" s="88"/>
      <c r="C163" s="79"/>
      <c r="D163" s="79"/>
      <c r="E163" s="83"/>
      <c r="F163" s="83"/>
      <c r="G163" s="83"/>
      <c r="H163" s="84"/>
      <c r="I163" s="84"/>
      <c r="J163" s="83"/>
      <c r="K163" s="83"/>
      <c r="L163" s="84"/>
      <c r="M163" s="84"/>
    </row>
    <row r="164" spans="2:13" ht="22.2" customHeight="1" x14ac:dyDescent="0.3">
      <c r="B164" s="88"/>
      <c r="C164" s="79"/>
      <c r="D164" s="79"/>
      <c r="E164" s="1069" t="s">
        <v>290</v>
      </c>
      <c r="F164" s="1069"/>
      <c r="G164" s="1069"/>
      <c r="H164" s="1070" t="s">
        <v>113</v>
      </c>
      <c r="I164" s="1070"/>
      <c r="J164" s="1069" t="s">
        <v>291</v>
      </c>
      <c r="K164" s="1069"/>
      <c r="L164" s="1070" t="s">
        <v>113</v>
      </c>
      <c r="M164" s="1070"/>
    </row>
    <row r="165" spans="2:13" ht="10.95" customHeight="1" thickBot="1" x14ac:dyDescent="0.3">
      <c r="B165" s="78"/>
      <c r="C165" s="79"/>
      <c r="D165" s="79"/>
      <c r="E165" s="79"/>
      <c r="F165" s="79"/>
      <c r="G165" s="79"/>
      <c r="H165" s="79"/>
      <c r="I165" s="79"/>
      <c r="J165" s="79"/>
      <c r="K165" s="79"/>
      <c r="L165" s="79"/>
      <c r="M165" s="79"/>
    </row>
    <row r="166" spans="2:13" ht="13.8" thickBot="1" x14ac:dyDescent="0.3">
      <c r="B166" s="79"/>
      <c r="C166" s="80" t="s">
        <v>292</v>
      </c>
      <c r="D166" s="79"/>
      <c r="E166" s="79"/>
      <c r="F166" s="91">
        <v>2.5</v>
      </c>
      <c r="G166" s="82" t="s">
        <v>293</v>
      </c>
      <c r="H166" s="93">
        <v>14.5</v>
      </c>
      <c r="I166" s="82" t="s">
        <v>294</v>
      </c>
      <c r="J166" s="92"/>
      <c r="K166" s="82" t="s">
        <v>293</v>
      </c>
      <c r="L166" s="93">
        <v>14.5</v>
      </c>
      <c r="M166" s="82" t="s">
        <v>294</v>
      </c>
    </row>
    <row r="167" spans="2:13" ht="13.8" thickBot="1" x14ac:dyDescent="0.3">
      <c r="B167" s="79"/>
      <c r="C167" s="80" t="s">
        <v>678</v>
      </c>
      <c r="D167" s="79"/>
      <c r="E167" s="79"/>
      <c r="F167" s="91">
        <v>2</v>
      </c>
      <c r="G167" s="82" t="s">
        <v>293</v>
      </c>
      <c r="H167" s="90">
        <f t="shared" ref="H167:H180" si="13">$H$166</f>
        <v>14.5</v>
      </c>
      <c r="I167" s="82" t="s">
        <v>294</v>
      </c>
      <c r="J167" s="92"/>
      <c r="K167" s="82" t="s">
        <v>293</v>
      </c>
      <c r="L167" s="90">
        <f t="shared" ref="L167:L180" si="14">$L$166</f>
        <v>14.5</v>
      </c>
      <c r="M167" s="82" t="s">
        <v>294</v>
      </c>
    </row>
    <row r="168" spans="2:13" ht="13.8" thickBot="1" x14ac:dyDescent="0.3">
      <c r="B168" s="79"/>
      <c r="C168" s="80" t="s">
        <v>297</v>
      </c>
      <c r="D168" s="79"/>
      <c r="E168" s="79"/>
      <c r="F168" s="91">
        <v>1</v>
      </c>
      <c r="G168" s="82" t="s">
        <v>293</v>
      </c>
      <c r="H168" s="90">
        <f t="shared" si="13"/>
        <v>14.5</v>
      </c>
      <c r="I168" s="82" t="s">
        <v>294</v>
      </c>
      <c r="J168" s="92"/>
      <c r="K168" s="82" t="s">
        <v>293</v>
      </c>
      <c r="L168" s="90">
        <f t="shared" si="14"/>
        <v>14.5</v>
      </c>
      <c r="M168" s="82" t="s">
        <v>294</v>
      </c>
    </row>
    <row r="169" spans="2:13" ht="13.8" thickBot="1" x14ac:dyDescent="0.3">
      <c r="B169" s="79"/>
      <c r="C169" s="80" t="s">
        <v>555</v>
      </c>
      <c r="D169" s="79"/>
      <c r="E169" s="79"/>
      <c r="F169" s="92">
        <v>2</v>
      </c>
      <c r="G169" s="82" t="s">
        <v>293</v>
      </c>
      <c r="H169" s="90">
        <f t="shared" si="13"/>
        <v>14.5</v>
      </c>
      <c r="I169" s="82" t="s">
        <v>294</v>
      </c>
      <c r="J169" s="92"/>
      <c r="K169" s="82" t="s">
        <v>293</v>
      </c>
      <c r="L169" s="90">
        <f t="shared" si="14"/>
        <v>14.5</v>
      </c>
      <c r="M169" s="82" t="s">
        <v>294</v>
      </c>
    </row>
    <row r="170" spans="2:13" ht="13.8" thickBot="1" x14ac:dyDescent="0.3">
      <c r="B170" s="79"/>
      <c r="C170" s="80" t="s">
        <v>679</v>
      </c>
      <c r="D170" s="79"/>
      <c r="E170" s="79"/>
      <c r="F170" s="92">
        <v>10</v>
      </c>
      <c r="G170" s="82" t="s">
        <v>293</v>
      </c>
      <c r="H170" s="90">
        <f t="shared" si="13"/>
        <v>14.5</v>
      </c>
      <c r="I170" s="82" t="s">
        <v>294</v>
      </c>
      <c r="J170" s="92"/>
      <c r="K170" s="82" t="s">
        <v>293</v>
      </c>
      <c r="L170" s="90">
        <f t="shared" si="14"/>
        <v>14.5</v>
      </c>
      <c r="M170" s="82" t="s">
        <v>294</v>
      </c>
    </row>
    <row r="171" spans="2:13" ht="13.8" thickBot="1" x14ac:dyDescent="0.3">
      <c r="B171" s="79"/>
      <c r="C171" s="80" t="s">
        <v>680</v>
      </c>
      <c r="D171" s="79"/>
      <c r="E171" s="79"/>
      <c r="F171" s="91">
        <v>15</v>
      </c>
      <c r="G171" s="82" t="s">
        <v>293</v>
      </c>
      <c r="H171" s="90">
        <f t="shared" si="13"/>
        <v>14.5</v>
      </c>
      <c r="I171" s="82" t="s">
        <v>294</v>
      </c>
      <c r="J171" s="92">
        <v>15</v>
      </c>
      <c r="K171" s="82" t="s">
        <v>293</v>
      </c>
      <c r="L171" s="90">
        <f t="shared" si="14"/>
        <v>14.5</v>
      </c>
      <c r="M171" s="82" t="s">
        <v>294</v>
      </c>
    </row>
    <row r="172" spans="2:13" ht="13.8" thickBot="1" x14ac:dyDescent="0.3">
      <c r="B172" s="79"/>
      <c r="C172" s="80" t="s">
        <v>298</v>
      </c>
      <c r="D172" s="79"/>
      <c r="E172" s="79"/>
      <c r="F172" s="91">
        <v>25</v>
      </c>
      <c r="G172" s="82" t="s">
        <v>293</v>
      </c>
      <c r="H172" s="90">
        <f t="shared" si="13"/>
        <v>14.5</v>
      </c>
      <c r="I172" s="82" t="s">
        <v>294</v>
      </c>
      <c r="J172" s="92">
        <v>25</v>
      </c>
      <c r="K172" s="82" t="s">
        <v>293</v>
      </c>
      <c r="L172" s="90">
        <f t="shared" si="14"/>
        <v>14.5</v>
      </c>
      <c r="M172" s="82" t="s">
        <v>294</v>
      </c>
    </row>
    <row r="173" spans="2:13" ht="13.8" thickBot="1" x14ac:dyDescent="0.3">
      <c r="B173" s="79"/>
      <c r="C173" s="80" t="s">
        <v>681</v>
      </c>
      <c r="D173" s="79"/>
      <c r="E173" s="79"/>
      <c r="F173" s="91">
        <v>6</v>
      </c>
      <c r="G173" s="82" t="s">
        <v>293</v>
      </c>
      <c r="H173" s="90">
        <f t="shared" si="13"/>
        <v>14.5</v>
      </c>
      <c r="I173" s="82" t="s">
        <v>294</v>
      </c>
      <c r="J173" s="92"/>
      <c r="K173" s="82" t="s">
        <v>293</v>
      </c>
      <c r="L173" s="90">
        <f t="shared" si="14"/>
        <v>14.5</v>
      </c>
      <c r="M173" s="82" t="s">
        <v>294</v>
      </c>
    </row>
    <row r="174" spans="2:13" ht="13.8" thickBot="1" x14ac:dyDescent="0.3">
      <c r="B174" s="79"/>
      <c r="C174" s="80" t="s">
        <v>766</v>
      </c>
      <c r="D174" s="79"/>
      <c r="E174" s="79"/>
      <c r="F174" s="91">
        <v>20</v>
      </c>
      <c r="G174" s="82" t="s">
        <v>293</v>
      </c>
      <c r="H174" s="90">
        <f t="shared" si="13"/>
        <v>14.5</v>
      </c>
      <c r="I174" s="82" t="s">
        <v>294</v>
      </c>
      <c r="J174" s="92">
        <v>40</v>
      </c>
      <c r="K174" s="82" t="s">
        <v>293</v>
      </c>
      <c r="L174" s="90">
        <f t="shared" si="14"/>
        <v>14.5</v>
      </c>
      <c r="M174" s="82" t="s">
        <v>294</v>
      </c>
    </row>
    <row r="175" spans="2:13" ht="13.8" thickBot="1" x14ac:dyDescent="0.3">
      <c r="B175" s="79"/>
      <c r="C175" s="80" t="s">
        <v>303</v>
      </c>
      <c r="D175" s="79"/>
      <c r="E175" s="79"/>
      <c r="F175" s="91">
        <v>4</v>
      </c>
      <c r="G175" s="82" t="s">
        <v>293</v>
      </c>
      <c r="H175" s="90">
        <f t="shared" si="13"/>
        <v>14.5</v>
      </c>
      <c r="I175" s="82" t="s">
        <v>294</v>
      </c>
      <c r="J175" s="92"/>
      <c r="K175" s="82" t="s">
        <v>293</v>
      </c>
      <c r="L175" s="90">
        <f t="shared" si="14"/>
        <v>14.5</v>
      </c>
      <c r="M175" s="82" t="s">
        <v>294</v>
      </c>
    </row>
    <row r="176" spans="2:13" ht="13.8" thickBot="1" x14ac:dyDescent="0.3">
      <c r="B176" s="79"/>
      <c r="C176" s="80" t="s">
        <v>662</v>
      </c>
      <c r="D176" s="79"/>
      <c r="E176" s="79"/>
      <c r="F176" s="91">
        <v>20</v>
      </c>
      <c r="G176" s="82" t="s">
        <v>293</v>
      </c>
      <c r="H176" s="90">
        <f t="shared" si="13"/>
        <v>14.5</v>
      </c>
      <c r="I176" s="82" t="s">
        <v>294</v>
      </c>
      <c r="J176" s="92"/>
      <c r="K176" s="82" t="s">
        <v>293</v>
      </c>
      <c r="L176" s="90">
        <f t="shared" si="14"/>
        <v>14.5</v>
      </c>
      <c r="M176" s="82" t="s">
        <v>294</v>
      </c>
    </row>
    <row r="177" spans="1:26" ht="13.8" thickBot="1" x14ac:dyDescent="0.3">
      <c r="B177" s="79"/>
      <c r="C177" s="80" t="s">
        <v>503</v>
      </c>
      <c r="D177" s="79"/>
      <c r="E177" s="79"/>
      <c r="F177" s="92">
        <v>12</v>
      </c>
      <c r="G177" s="82" t="s">
        <v>293</v>
      </c>
      <c r="H177" s="90">
        <f t="shared" si="13"/>
        <v>14.5</v>
      </c>
      <c r="I177" s="82" t="s">
        <v>294</v>
      </c>
      <c r="J177" s="92"/>
      <c r="K177" s="82" t="s">
        <v>293</v>
      </c>
      <c r="L177" s="90">
        <f t="shared" si="14"/>
        <v>14.5</v>
      </c>
      <c r="M177" s="82" t="s">
        <v>294</v>
      </c>
    </row>
    <row r="178" spans="1:26" ht="13.8" thickBot="1" x14ac:dyDescent="0.3">
      <c r="B178" s="79"/>
      <c r="C178" s="80" t="s">
        <v>431</v>
      </c>
      <c r="D178" s="79"/>
      <c r="E178" s="79"/>
      <c r="F178" s="92"/>
      <c r="G178" s="82" t="s">
        <v>293</v>
      </c>
      <c r="H178" s="90">
        <f t="shared" si="13"/>
        <v>14.5</v>
      </c>
      <c r="I178" s="82" t="s">
        <v>294</v>
      </c>
      <c r="J178" s="75"/>
      <c r="K178" s="82" t="s">
        <v>293</v>
      </c>
      <c r="L178" s="90">
        <f t="shared" si="14"/>
        <v>14.5</v>
      </c>
      <c r="M178" s="82" t="s">
        <v>294</v>
      </c>
    </row>
    <row r="179" spans="1:26" ht="13.8" thickBot="1" x14ac:dyDescent="0.3">
      <c r="B179" s="79"/>
      <c r="C179" s="80" t="s">
        <v>431</v>
      </c>
      <c r="D179" s="79"/>
      <c r="E179" s="79"/>
      <c r="F179" s="92"/>
      <c r="G179" s="82" t="s">
        <v>293</v>
      </c>
      <c r="H179" s="90">
        <f t="shared" si="13"/>
        <v>14.5</v>
      </c>
      <c r="I179" s="82" t="s">
        <v>294</v>
      </c>
      <c r="J179" s="75"/>
      <c r="K179" s="82" t="s">
        <v>293</v>
      </c>
      <c r="L179" s="90">
        <f t="shared" si="14"/>
        <v>14.5</v>
      </c>
      <c r="M179" s="82" t="s">
        <v>294</v>
      </c>
    </row>
    <row r="180" spans="1:26" ht="13.8" thickBot="1" x14ac:dyDescent="0.3">
      <c r="B180" s="79"/>
      <c r="C180" s="80" t="s">
        <v>431</v>
      </c>
      <c r="D180" s="81"/>
      <c r="E180" s="81"/>
      <c r="F180" s="75"/>
      <c r="G180" s="82" t="s">
        <v>293</v>
      </c>
      <c r="H180" s="90">
        <f t="shared" si="13"/>
        <v>14.5</v>
      </c>
      <c r="I180" s="82" t="s">
        <v>294</v>
      </c>
      <c r="J180" s="75"/>
      <c r="K180" s="82" t="s">
        <v>293</v>
      </c>
      <c r="L180" s="90">
        <f t="shared" si="14"/>
        <v>14.5</v>
      </c>
      <c r="M180" s="82" t="s">
        <v>294</v>
      </c>
    </row>
    <row r="181" spans="1:26" s="5" customFormat="1" x14ac:dyDescent="0.25">
      <c r="A181" s="356"/>
      <c r="B181" s="209"/>
      <c r="C181" s="210" t="s">
        <v>54</v>
      </c>
      <c r="D181" s="211"/>
      <c r="E181" s="211"/>
      <c r="F181" s="212">
        <f>SUM(F166:F180)</f>
        <v>119.5</v>
      </c>
      <c r="G181" s="209" t="s">
        <v>293</v>
      </c>
      <c r="H181" s="213">
        <f>F181*H166</f>
        <v>1732.75</v>
      </c>
      <c r="I181" s="209" t="s">
        <v>57</v>
      </c>
      <c r="J181" s="212">
        <f>SUM(J166:J180)</f>
        <v>80</v>
      </c>
      <c r="K181" s="209" t="s">
        <v>293</v>
      </c>
      <c r="L181" s="213">
        <f>J181*L166</f>
        <v>1160</v>
      </c>
      <c r="M181" s="209" t="s">
        <v>57</v>
      </c>
      <c r="N181"/>
      <c r="O181"/>
      <c r="P181"/>
      <c r="Q181"/>
      <c r="R181"/>
      <c r="S181"/>
      <c r="T181"/>
      <c r="U181"/>
      <c r="Y181"/>
      <c r="Z181"/>
    </row>
    <row r="182" spans="1:26" ht="57" customHeight="1" thickBot="1" x14ac:dyDescent="0.3">
      <c r="B182" s="116"/>
      <c r="C182" s="116"/>
      <c r="D182" s="116"/>
      <c r="E182" s="116"/>
      <c r="F182" s="116"/>
      <c r="G182" s="116"/>
      <c r="H182" s="116"/>
      <c r="I182" s="116"/>
      <c r="J182" s="116"/>
      <c r="K182" s="116"/>
      <c r="L182" s="116"/>
      <c r="M182" s="116"/>
      <c r="N182" s="5"/>
      <c r="O182" s="5"/>
      <c r="P182" s="5"/>
      <c r="Q182" s="5"/>
      <c r="R182" s="5"/>
      <c r="S182" s="5"/>
      <c r="T182" s="5"/>
      <c r="U182" s="5"/>
      <c r="Y182" s="5"/>
      <c r="Z182" s="5"/>
    </row>
    <row r="183" spans="1:26" ht="30" customHeight="1" thickBot="1" x14ac:dyDescent="0.45">
      <c r="B183" s="1129" t="s">
        <v>767</v>
      </c>
      <c r="C183" s="1130"/>
      <c r="D183" s="1130"/>
      <c r="E183" s="1131"/>
      <c r="F183" s="116"/>
      <c r="G183" s="116"/>
      <c r="H183" s="116"/>
      <c r="I183" s="116"/>
      <c r="J183" s="1153" t="s">
        <v>241</v>
      </c>
      <c r="K183" s="1153"/>
      <c r="L183" s="1153"/>
      <c r="M183" s="116"/>
    </row>
    <row r="184" spans="1:26" ht="30" customHeight="1" x14ac:dyDescent="0.4">
      <c r="B184" s="438"/>
      <c r="C184" s="438"/>
      <c r="D184" s="438"/>
      <c r="E184" s="438"/>
      <c r="F184" s="116"/>
      <c r="G184" s="116"/>
      <c r="H184" s="116"/>
      <c r="I184" s="116"/>
      <c r="J184" s="461"/>
      <c r="K184" s="461"/>
      <c r="L184" s="461"/>
      <c r="M184" s="116"/>
    </row>
    <row r="185" spans="1:26" ht="15.6" x14ac:dyDescent="0.3">
      <c r="B185" s="89" t="s">
        <v>768</v>
      </c>
      <c r="C185" s="44"/>
      <c r="D185" s="44"/>
      <c r="E185" s="44"/>
      <c r="F185" s="1077" t="s">
        <v>114</v>
      </c>
      <c r="G185" s="1077"/>
      <c r="H185" s="1077" t="s">
        <v>113</v>
      </c>
      <c r="I185" s="1077"/>
      <c r="J185" s="1077" t="s">
        <v>243</v>
      </c>
      <c r="K185" s="1077"/>
      <c r="L185" s="111" t="s">
        <v>244</v>
      </c>
      <c r="M185" s="46"/>
    </row>
    <row r="186" spans="1:26" ht="13.8" thickBot="1" x14ac:dyDescent="0.3">
      <c r="B186" s="48"/>
      <c r="C186" s="44"/>
      <c r="D186" s="44"/>
      <c r="E186" s="44"/>
      <c r="F186" s="44"/>
      <c r="G186" s="44"/>
      <c r="H186" s="44"/>
      <c r="I186" s="44"/>
      <c r="J186" s="46"/>
      <c r="K186" s="46"/>
      <c r="L186" s="46"/>
      <c r="M186" s="46"/>
    </row>
    <row r="187" spans="1:26" ht="13.8" thickBot="1" x14ac:dyDescent="0.3">
      <c r="B187" s="44"/>
      <c r="C187" s="45" t="s">
        <v>769</v>
      </c>
      <c r="D187" s="46"/>
      <c r="E187" s="44"/>
      <c r="F187" s="94">
        <v>250</v>
      </c>
      <c r="G187" s="44" t="s">
        <v>647</v>
      </c>
      <c r="H187" s="73">
        <v>3.5</v>
      </c>
      <c r="I187" s="49" t="s">
        <v>74</v>
      </c>
      <c r="J187" s="191">
        <f>F187*H187</f>
        <v>875</v>
      </c>
      <c r="K187" s="44" t="s">
        <v>57</v>
      </c>
      <c r="L187" s="44" t="s">
        <v>764</v>
      </c>
      <c r="M187" s="46"/>
    </row>
    <row r="188" spans="1:26" ht="13.8" thickBot="1" x14ac:dyDescent="0.3">
      <c r="B188" s="44"/>
      <c r="C188" s="44" t="s">
        <v>596</v>
      </c>
      <c r="D188" s="45"/>
      <c r="E188" s="44"/>
      <c r="F188" s="94"/>
      <c r="G188" s="44" t="s">
        <v>647</v>
      </c>
      <c r="H188" s="73"/>
      <c r="I188" s="49" t="s">
        <v>74</v>
      </c>
      <c r="J188" s="191">
        <f t="shared" ref="J188:J189" si="15">F188*H188</f>
        <v>0</v>
      </c>
      <c r="K188" s="44" t="s">
        <v>57</v>
      </c>
      <c r="L188" s="46"/>
      <c r="M188" s="46"/>
    </row>
    <row r="189" spans="1:26" ht="13.8" thickBot="1" x14ac:dyDescent="0.3">
      <c r="B189" s="44"/>
      <c r="C189" s="46" t="s">
        <v>596</v>
      </c>
      <c r="D189" s="45"/>
      <c r="E189" s="44"/>
      <c r="F189" s="94"/>
      <c r="G189" s="44" t="s">
        <v>647</v>
      </c>
      <c r="H189" s="73"/>
      <c r="I189" s="49" t="s">
        <v>74</v>
      </c>
      <c r="J189" s="191">
        <f t="shared" si="15"/>
        <v>0</v>
      </c>
      <c r="K189" s="44" t="s">
        <v>57</v>
      </c>
      <c r="L189" s="46"/>
      <c r="M189" s="46"/>
    </row>
    <row r="190" spans="1:26" ht="13.8" thickBot="1" x14ac:dyDescent="0.3">
      <c r="B190" s="44"/>
      <c r="C190" s="44"/>
      <c r="D190" s="50"/>
      <c r="E190" s="44"/>
      <c r="F190" s="44"/>
      <c r="G190" s="44"/>
      <c r="H190" s="49"/>
      <c r="I190" s="49"/>
      <c r="J190" s="191"/>
      <c r="K190" s="44"/>
      <c r="L190" s="46"/>
      <c r="M190" s="46"/>
    </row>
    <row r="191" spans="1:26" ht="13.8" thickBot="1" x14ac:dyDescent="0.3">
      <c r="B191" s="44"/>
      <c r="C191" s="44" t="s">
        <v>770</v>
      </c>
      <c r="D191" s="50"/>
      <c r="E191" s="44"/>
      <c r="F191" s="94">
        <v>10</v>
      </c>
      <c r="G191" s="44" t="s">
        <v>8</v>
      </c>
      <c r="H191" s="77">
        <v>4</v>
      </c>
      <c r="I191" s="49" t="s">
        <v>206</v>
      </c>
      <c r="J191" s="191">
        <f t="shared" ref="J191" si="16">F191*H191</f>
        <v>40</v>
      </c>
      <c r="K191" s="44" t="s">
        <v>57</v>
      </c>
      <c r="L191" s="46"/>
      <c r="M191" s="46"/>
    </row>
    <row r="192" spans="1:26" ht="13.8" thickBot="1" x14ac:dyDescent="0.3">
      <c r="B192" s="44"/>
      <c r="C192" s="44" t="s">
        <v>598</v>
      </c>
      <c r="D192" s="50"/>
      <c r="E192" s="44"/>
      <c r="F192" s="94"/>
      <c r="G192" s="44" t="s">
        <v>8</v>
      </c>
      <c r="H192" s="77"/>
      <c r="I192" s="49" t="s">
        <v>206</v>
      </c>
      <c r="J192" s="191"/>
      <c r="K192" s="44" t="s">
        <v>57</v>
      </c>
      <c r="L192" s="46"/>
      <c r="M192" s="46"/>
    </row>
    <row r="193" spans="1:26" s="5" customFormat="1" x14ac:dyDescent="0.25">
      <c r="A193" s="356"/>
      <c r="B193" s="50"/>
      <c r="C193" s="50" t="s">
        <v>54</v>
      </c>
      <c r="D193" s="50"/>
      <c r="E193" s="50"/>
      <c r="F193" s="218"/>
      <c r="G193" s="50"/>
      <c r="H193" s="219"/>
      <c r="I193" s="219"/>
      <c r="J193" s="220">
        <f>SUM(J187:J192)</f>
        <v>915</v>
      </c>
      <c r="K193" s="50" t="s">
        <v>57</v>
      </c>
      <c r="L193" s="50"/>
      <c r="M193" s="50"/>
      <c r="N193"/>
      <c r="O193"/>
      <c r="P193"/>
      <c r="Q193"/>
      <c r="R193"/>
      <c r="S193"/>
      <c r="T193"/>
      <c r="U193"/>
      <c r="Y193"/>
      <c r="Z193"/>
    </row>
    <row r="194" spans="1:26" x14ac:dyDescent="0.25">
      <c r="B194" s="44"/>
      <c r="C194" s="44"/>
      <c r="D194" s="50"/>
      <c r="E194" s="44"/>
      <c r="F194" s="47"/>
      <c r="G194" s="44"/>
      <c r="H194" s="49"/>
      <c r="I194" s="49"/>
      <c r="J194" s="46"/>
      <c r="K194" s="44"/>
      <c r="L194" s="46"/>
      <c r="M194" s="46"/>
      <c r="N194" s="5"/>
      <c r="O194" s="5"/>
      <c r="P194" s="5"/>
      <c r="Q194" s="5"/>
      <c r="R194" s="5"/>
      <c r="S194" s="5"/>
      <c r="T194" s="5"/>
      <c r="U194" s="5"/>
      <c r="Y194" s="5"/>
      <c r="Z194" s="5"/>
    </row>
    <row r="195" spans="1:26" ht="37.200000000000003" customHeight="1" x14ac:dyDescent="0.25">
      <c r="B195" s="435"/>
      <c r="C195" s="435"/>
      <c r="D195" s="436"/>
      <c r="E195" s="435"/>
      <c r="F195" s="435"/>
      <c r="G195" s="435"/>
      <c r="H195" s="437"/>
      <c r="I195" s="437"/>
      <c r="J195" s="116"/>
      <c r="K195" s="116"/>
      <c r="L195" s="116"/>
      <c r="M195" s="116"/>
    </row>
    <row r="196" spans="1:26" ht="15.6" x14ac:dyDescent="0.3">
      <c r="B196" s="96" t="s">
        <v>738</v>
      </c>
      <c r="C196" s="97"/>
      <c r="D196" s="97"/>
      <c r="E196" s="97"/>
      <c r="F196" s="1074" t="s">
        <v>114</v>
      </c>
      <c r="G196" s="1074"/>
      <c r="H196" s="1074" t="s">
        <v>113</v>
      </c>
      <c r="I196" s="1074"/>
      <c r="J196" s="1074" t="s">
        <v>243</v>
      </c>
      <c r="K196" s="1074"/>
      <c r="L196" s="99"/>
      <c r="M196" s="99"/>
    </row>
    <row r="197" spans="1:26" ht="13.8" thickBot="1" x14ac:dyDescent="0.3">
      <c r="B197" s="97"/>
      <c r="C197" s="97"/>
      <c r="D197" s="97"/>
      <c r="E197" s="97"/>
      <c r="F197" s="97"/>
      <c r="G197" s="97"/>
      <c r="H197" s="98"/>
      <c r="I197" s="98"/>
      <c r="J197" s="99"/>
      <c r="K197" s="99"/>
      <c r="L197" s="99"/>
      <c r="M197" s="99"/>
    </row>
    <row r="198" spans="1:26" ht="13.8" thickBot="1" x14ac:dyDescent="0.3">
      <c r="B198" s="97"/>
      <c r="C198" s="97" t="s">
        <v>683</v>
      </c>
      <c r="D198" s="99"/>
      <c r="E198" s="97"/>
      <c r="F198" s="94">
        <v>100</v>
      </c>
      <c r="G198" s="97" t="s">
        <v>212</v>
      </c>
      <c r="H198" s="77">
        <v>1.53</v>
      </c>
      <c r="I198" s="98" t="s">
        <v>206</v>
      </c>
      <c r="J198" s="190">
        <f>F198*H198</f>
        <v>153</v>
      </c>
      <c r="K198" s="97" t="s">
        <v>57</v>
      </c>
      <c r="L198" s="99"/>
      <c r="M198" s="99"/>
    </row>
    <row r="199" spans="1:26" ht="13.8" thickBot="1" x14ac:dyDescent="0.3">
      <c r="B199" s="97"/>
      <c r="C199" s="97" t="s">
        <v>251</v>
      </c>
      <c r="D199" s="99"/>
      <c r="E199" s="97"/>
      <c r="F199" s="94"/>
      <c r="G199" s="97" t="s">
        <v>212</v>
      </c>
      <c r="H199" s="77"/>
      <c r="I199" s="98" t="s">
        <v>206</v>
      </c>
      <c r="J199" s="190">
        <f t="shared" ref="J199:J201" si="17">F199*H199</f>
        <v>0</v>
      </c>
      <c r="K199" s="97" t="s">
        <v>57</v>
      </c>
      <c r="L199" s="99"/>
      <c r="M199" s="99"/>
    </row>
    <row r="200" spans="1:26" ht="13.8" thickBot="1" x14ac:dyDescent="0.3">
      <c r="B200" s="97"/>
      <c r="C200" s="97" t="s">
        <v>251</v>
      </c>
      <c r="D200" s="97"/>
      <c r="E200" s="97"/>
      <c r="F200" s="74"/>
      <c r="G200" s="97" t="s">
        <v>212</v>
      </c>
      <c r="H200" s="77"/>
      <c r="I200" s="98" t="s">
        <v>206</v>
      </c>
      <c r="J200" s="190">
        <f t="shared" si="17"/>
        <v>0</v>
      </c>
      <c r="K200" s="97" t="s">
        <v>57</v>
      </c>
      <c r="L200" s="99"/>
      <c r="M200" s="99"/>
    </row>
    <row r="201" spans="1:26" ht="13.8" thickBot="1" x14ac:dyDescent="0.3">
      <c r="B201" s="97"/>
      <c r="C201" s="97" t="s">
        <v>251</v>
      </c>
      <c r="D201" s="97"/>
      <c r="E201" s="97"/>
      <c r="F201" s="74"/>
      <c r="G201" s="97" t="s">
        <v>212</v>
      </c>
      <c r="H201" s="76"/>
      <c r="I201" s="98" t="s">
        <v>206</v>
      </c>
      <c r="J201" s="190">
        <f t="shared" si="17"/>
        <v>0</v>
      </c>
      <c r="K201" s="97" t="s">
        <v>57</v>
      </c>
      <c r="L201" s="99"/>
      <c r="M201" s="99"/>
    </row>
    <row r="202" spans="1:26" s="5" customFormat="1" x14ac:dyDescent="0.25">
      <c r="A202" s="356"/>
      <c r="B202" s="214"/>
      <c r="C202" s="214" t="s">
        <v>54</v>
      </c>
      <c r="D202" s="214"/>
      <c r="E202" s="214"/>
      <c r="F202" s="214"/>
      <c r="G202" s="214"/>
      <c r="H202" s="216"/>
      <c r="I202" s="215"/>
      <c r="J202" s="217">
        <f>SUM(J198:J201)</f>
        <v>153</v>
      </c>
      <c r="K202" s="214" t="s">
        <v>57</v>
      </c>
      <c r="L202" s="214"/>
      <c r="M202" s="214"/>
      <c r="N202"/>
      <c r="O202"/>
      <c r="P202"/>
      <c r="Q202"/>
      <c r="R202"/>
      <c r="S202"/>
      <c r="T202"/>
      <c r="U202"/>
      <c r="Y202"/>
      <c r="Z202"/>
    </row>
    <row r="203" spans="1:26" x14ac:dyDescent="0.25">
      <c r="B203" s="97"/>
      <c r="C203" s="97"/>
      <c r="D203" s="97"/>
      <c r="E203" s="97"/>
      <c r="F203" s="97"/>
      <c r="G203" s="97"/>
      <c r="H203" s="98"/>
      <c r="I203" s="98"/>
      <c r="J203" s="99"/>
      <c r="K203" s="99"/>
      <c r="L203" s="99"/>
      <c r="M203" s="99"/>
      <c r="N203" s="5"/>
      <c r="O203" s="5"/>
      <c r="P203" s="5"/>
      <c r="Q203" s="5"/>
      <c r="R203" s="5"/>
      <c r="S203" s="5"/>
      <c r="T203" s="5"/>
      <c r="U203" s="5"/>
      <c r="Y203" s="5"/>
      <c r="Z203" s="5"/>
    </row>
    <row r="204" spans="1:26" ht="37.950000000000003" customHeight="1" x14ac:dyDescent="0.25">
      <c r="B204" s="116"/>
      <c r="C204" s="116"/>
      <c r="D204" s="116"/>
      <c r="E204" s="116"/>
      <c r="F204" s="116"/>
      <c r="G204" s="116"/>
      <c r="H204" s="116"/>
      <c r="I204" s="116"/>
      <c r="J204" s="116"/>
      <c r="K204" s="116"/>
      <c r="L204" s="116"/>
      <c r="M204" s="116"/>
    </row>
    <row r="205" spans="1:26" ht="15.6" x14ac:dyDescent="0.3">
      <c r="B205" s="85" t="s">
        <v>771</v>
      </c>
      <c r="C205" s="51"/>
      <c r="D205" s="51"/>
      <c r="E205" s="51"/>
      <c r="F205" s="1075" t="s">
        <v>114</v>
      </c>
      <c r="G205" s="1075"/>
      <c r="H205" s="1076" t="s">
        <v>113</v>
      </c>
      <c r="I205" s="1076"/>
      <c r="J205" s="1075" t="s">
        <v>243</v>
      </c>
      <c r="K205" s="1075"/>
      <c r="L205" s="58"/>
      <c r="M205" s="58"/>
    </row>
    <row r="206" spans="1:26" ht="15.6" x14ac:dyDescent="0.3">
      <c r="B206" s="85"/>
      <c r="C206" s="51"/>
      <c r="D206" s="387" t="s">
        <v>253</v>
      </c>
      <c r="E206" s="51"/>
      <c r="F206" s="59"/>
      <c r="G206" s="59"/>
      <c r="H206" s="60"/>
      <c r="I206" s="60"/>
      <c r="J206" s="59"/>
      <c r="K206" s="59"/>
      <c r="L206" s="58"/>
      <c r="M206" s="58"/>
    </row>
    <row r="207" spans="1:26" ht="13.8" thickBot="1" x14ac:dyDescent="0.3">
      <c r="B207" s="171" t="s">
        <v>254</v>
      </c>
      <c r="C207" s="51"/>
      <c r="D207" s="51"/>
      <c r="E207" s="51"/>
      <c r="F207" s="53"/>
      <c r="G207" s="53"/>
      <c r="H207" s="52"/>
      <c r="I207" s="52"/>
      <c r="J207" s="58"/>
      <c r="K207" s="58"/>
      <c r="L207" s="58"/>
      <c r="M207" s="58"/>
    </row>
    <row r="208" spans="1:26" ht="13.8" thickBot="1" x14ac:dyDescent="0.3">
      <c r="B208" s="51"/>
      <c r="C208" s="51" t="s">
        <v>265</v>
      </c>
      <c r="D208" s="58"/>
      <c r="E208" s="51"/>
      <c r="F208" s="95"/>
      <c r="G208" s="53" t="s">
        <v>256</v>
      </c>
      <c r="H208" s="77"/>
      <c r="I208" s="52" t="s">
        <v>257</v>
      </c>
      <c r="J208" s="58">
        <f>F208*H208</f>
        <v>0</v>
      </c>
      <c r="K208" s="51" t="s">
        <v>57</v>
      </c>
      <c r="L208" s="58"/>
      <c r="M208" s="58"/>
    </row>
    <row r="209" spans="1:26" ht="13.8" thickBot="1" x14ac:dyDescent="0.3">
      <c r="B209" s="51"/>
      <c r="C209" s="51" t="s">
        <v>265</v>
      </c>
      <c r="D209" s="51"/>
      <c r="E209" s="51"/>
      <c r="F209" s="95"/>
      <c r="G209" s="53" t="s">
        <v>256</v>
      </c>
      <c r="H209" s="77"/>
      <c r="I209" s="52" t="s">
        <v>257</v>
      </c>
      <c r="J209" s="58">
        <f t="shared" ref="J209:J215" si="18">F209*H209</f>
        <v>0</v>
      </c>
      <c r="K209" s="51" t="s">
        <v>57</v>
      </c>
      <c r="L209" s="58"/>
      <c r="M209" s="58"/>
    </row>
    <row r="210" spans="1:26" ht="13.8" thickBot="1" x14ac:dyDescent="0.3">
      <c r="B210" s="51"/>
      <c r="C210" s="51" t="s">
        <v>265</v>
      </c>
      <c r="D210" s="51"/>
      <c r="E210" s="51"/>
      <c r="F210" s="95"/>
      <c r="G210" s="53" t="s">
        <v>256</v>
      </c>
      <c r="H210" s="77"/>
      <c r="I210" s="52" t="s">
        <v>257</v>
      </c>
      <c r="J210" s="58">
        <f t="shared" si="18"/>
        <v>0</v>
      </c>
      <c r="K210" s="51" t="s">
        <v>57</v>
      </c>
      <c r="L210" s="58"/>
      <c r="M210" s="58"/>
    </row>
    <row r="211" spans="1:26" x14ac:dyDescent="0.25">
      <c r="B211" s="51"/>
      <c r="C211" s="51"/>
      <c r="D211" s="51"/>
      <c r="E211" s="51"/>
      <c r="F211" s="53"/>
      <c r="G211" s="53"/>
      <c r="H211" s="52"/>
      <c r="I211" s="52"/>
      <c r="J211" s="58"/>
      <c r="K211" s="51"/>
      <c r="L211" s="58"/>
      <c r="M211" s="58"/>
    </row>
    <row r="212" spans="1:26" ht="13.8" thickBot="1" x14ac:dyDescent="0.3">
      <c r="B212" s="171" t="s">
        <v>266</v>
      </c>
      <c r="C212" s="51"/>
      <c r="D212" s="51"/>
      <c r="E212" s="51"/>
      <c r="F212" s="53"/>
      <c r="G212" s="53"/>
      <c r="H212" s="52"/>
      <c r="I212" s="52"/>
      <c r="J212" s="58"/>
      <c r="K212" s="51"/>
      <c r="L212" s="58"/>
      <c r="M212" s="58"/>
    </row>
    <row r="213" spans="1:26" ht="13.8" thickBot="1" x14ac:dyDescent="0.3">
      <c r="B213" s="51"/>
      <c r="C213" s="51" t="s">
        <v>267</v>
      </c>
      <c r="D213" s="51"/>
      <c r="E213" s="51"/>
      <c r="F213" s="95"/>
      <c r="G213" s="53"/>
      <c r="H213" s="95"/>
      <c r="I213" s="52"/>
      <c r="J213" s="58">
        <f t="shared" si="18"/>
        <v>0</v>
      </c>
      <c r="K213" s="51" t="s">
        <v>57</v>
      </c>
      <c r="L213" s="58"/>
      <c r="M213" s="58"/>
    </row>
    <row r="214" spans="1:26" ht="13.8" thickBot="1" x14ac:dyDescent="0.3">
      <c r="B214" s="51"/>
      <c r="C214" s="51" t="s">
        <v>267</v>
      </c>
      <c r="D214" s="51"/>
      <c r="E214" s="51"/>
      <c r="F214" s="95"/>
      <c r="G214" s="53"/>
      <c r="H214" s="95"/>
      <c r="I214" s="52"/>
      <c r="J214" s="58">
        <f t="shared" si="18"/>
        <v>0</v>
      </c>
      <c r="K214" s="51" t="s">
        <v>57</v>
      </c>
      <c r="L214" s="58"/>
      <c r="M214" s="58"/>
    </row>
    <row r="215" spans="1:26" ht="13.8" thickBot="1" x14ac:dyDescent="0.3">
      <c r="B215" s="51"/>
      <c r="C215" s="51" t="s">
        <v>267</v>
      </c>
      <c r="D215" s="51"/>
      <c r="E215" s="51"/>
      <c r="F215" s="95"/>
      <c r="G215" s="53"/>
      <c r="H215" s="95"/>
      <c r="I215" s="52"/>
      <c r="J215" s="58">
        <f t="shared" si="18"/>
        <v>0</v>
      </c>
      <c r="K215" s="51" t="s">
        <v>57</v>
      </c>
      <c r="L215" s="58"/>
      <c r="M215" s="58"/>
    </row>
    <row r="216" spans="1:26" s="5" customFormat="1" x14ac:dyDescent="0.25">
      <c r="A216" s="356"/>
      <c r="B216" s="195"/>
      <c r="C216" s="195" t="s">
        <v>54</v>
      </c>
      <c r="D216" s="195"/>
      <c r="E216" s="195"/>
      <c r="F216" s="196"/>
      <c r="G216" s="196"/>
      <c r="H216" s="196"/>
      <c r="I216" s="197"/>
      <c r="J216" s="195">
        <f>SUM(J208:J215)</f>
        <v>0</v>
      </c>
      <c r="K216" s="195" t="s">
        <v>57</v>
      </c>
      <c r="L216" s="195"/>
      <c r="M216" s="195"/>
      <c r="N216"/>
      <c r="O216"/>
      <c r="P216"/>
      <c r="Q216"/>
      <c r="R216"/>
      <c r="S216"/>
      <c r="T216"/>
      <c r="U216"/>
      <c r="Y216"/>
      <c r="Z216"/>
    </row>
    <row r="217" spans="1:26" x14ac:dyDescent="0.25">
      <c r="B217" s="51"/>
      <c r="C217" s="51"/>
      <c r="D217" s="51"/>
      <c r="E217" s="51"/>
      <c r="F217" s="53"/>
      <c r="G217" s="53"/>
      <c r="H217" s="52"/>
      <c r="I217" s="52"/>
      <c r="J217" s="58"/>
      <c r="K217" s="51"/>
      <c r="L217" s="58"/>
      <c r="M217" s="58"/>
      <c r="N217" s="5"/>
      <c r="O217" s="5"/>
      <c r="P217" s="5"/>
      <c r="Q217" s="5"/>
      <c r="R217" s="5"/>
      <c r="S217" s="5"/>
      <c r="T217" s="5"/>
      <c r="U217" s="5"/>
      <c r="Y217" s="5"/>
      <c r="Z217" s="5"/>
    </row>
    <row r="218" spans="1:26" ht="46.95" customHeight="1" x14ac:dyDescent="0.25">
      <c r="B218" s="116"/>
      <c r="C218" s="116"/>
      <c r="D218" s="116"/>
      <c r="E218" s="116"/>
      <c r="F218" s="116"/>
      <c r="G218" s="116"/>
      <c r="H218" s="116"/>
      <c r="I218" s="116"/>
      <c r="J218" s="116"/>
      <c r="K218" s="116"/>
      <c r="L218" s="116"/>
      <c r="M218" s="116"/>
    </row>
    <row r="219" spans="1:26" ht="30" customHeight="1" x14ac:dyDescent="0.3">
      <c r="B219" s="526" t="s">
        <v>772</v>
      </c>
      <c r="C219" s="527"/>
      <c r="D219" s="527"/>
      <c r="E219" s="527"/>
      <c r="F219" s="1125" t="s">
        <v>114</v>
      </c>
      <c r="G219" s="1125"/>
      <c r="H219" s="1125" t="s">
        <v>113</v>
      </c>
      <c r="I219" s="1125"/>
      <c r="J219" s="1125" t="s">
        <v>243</v>
      </c>
      <c r="K219" s="1125"/>
      <c r="L219" s="101"/>
      <c r="M219" s="101"/>
    </row>
    <row r="220" spans="1:26" ht="13.8" thickBot="1" x14ac:dyDescent="0.3">
      <c r="B220" s="527"/>
      <c r="C220" s="527"/>
      <c r="D220" s="527"/>
      <c r="E220" s="527"/>
      <c r="F220" s="527"/>
      <c r="G220" s="527"/>
      <c r="H220" s="528"/>
      <c r="I220" s="528"/>
      <c r="J220" s="101"/>
      <c r="K220" s="101"/>
      <c r="L220" s="101"/>
      <c r="M220" s="101"/>
    </row>
    <row r="221" spans="1:26" ht="13.8" thickBot="1" x14ac:dyDescent="0.3">
      <c r="B221" s="527"/>
      <c r="C221" s="527" t="s">
        <v>621</v>
      </c>
      <c r="D221" s="101"/>
      <c r="E221" s="527"/>
      <c r="F221" s="529">
        <v>5</v>
      </c>
      <c r="G221" s="527" t="s">
        <v>622</v>
      </c>
      <c r="H221" s="530">
        <v>160</v>
      </c>
      <c r="I221" s="528" t="s">
        <v>623</v>
      </c>
      <c r="J221" s="531">
        <f t="shared" ref="J221:J223" si="19">F221*H221</f>
        <v>800</v>
      </c>
      <c r="K221" s="527" t="s">
        <v>57</v>
      </c>
      <c r="L221" s="101"/>
      <c r="M221" s="101"/>
    </row>
    <row r="222" spans="1:26" ht="13.8" thickBot="1" x14ac:dyDescent="0.3">
      <c r="B222" s="527"/>
      <c r="C222" s="527" t="s">
        <v>274</v>
      </c>
      <c r="D222" s="527"/>
      <c r="E222" s="527"/>
      <c r="F222" s="529"/>
      <c r="G222" s="527" t="s">
        <v>7</v>
      </c>
      <c r="H222" s="530"/>
      <c r="I222" s="528" t="s">
        <v>57</v>
      </c>
      <c r="J222" s="531">
        <f t="shared" si="19"/>
        <v>0</v>
      </c>
      <c r="K222" s="527" t="s">
        <v>57</v>
      </c>
      <c r="L222" s="101"/>
      <c r="M222" s="101"/>
    </row>
    <row r="223" spans="1:26" ht="13.8" thickBot="1" x14ac:dyDescent="0.3">
      <c r="B223" s="527"/>
      <c r="C223" s="527" t="s">
        <v>274</v>
      </c>
      <c r="D223" s="527"/>
      <c r="E223" s="527"/>
      <c r="F223" s="529"/>
      <c r="G223" s="527" t="s">
        <v>7</v>
      </c>
      <c r="H223" s="530"/>
      <c r="I223" s="528" t="s">
        <v>57</v>
      </c>
      <c r="J223" s="531">
        <f t="shared" si="19"/>
        <v>0</v>
      </c>
      <c r="K223" s="527" t="s">
        <v>57</v>
      </c>
      <c r="L223" s="101"/>
      <c r="M223" s="101"/>
    </row>
    <row r="224" spans="1:26" x14ac:dyDescent="0.25">
      <c r="B224" s="305"/>
      <c r="C224" s="305" t="s">
        <v>54</v>
      </c>
      <c r="D224" s="305"/>
      <c r="E224" s="305"/>
      <c r="F224" s="305"/>
      <c r="G224" s="305"/>
      <c r="H224" s="532"/>
      <c r="I224" s="532"/>
      <c r="J224" s="533">
        <f>SUM(J221:J223)</f>
        <v>800</v>
      </c>
      <c r="K224" s="305" t="s">
        <v>57</v>
      </c>
      <c r="L224" s="305"/>
      <c r="M224" s="305"/>
    </row>
    <row r="225" spans="1:26" x14ac:dyDescent="0.25">
      <c r="B225" s="527"/>
      <c r="C225" s="527"/>
      <c r="D225" s="527"/>
      <c r="E225" s="527"/>
      <c r="F225" s="527"/>
      <c r="G225" s="527"/>
      <c r="H225" s="528"/>
      <c r="I225" s="528"/>
      <c r="J225" s="531"/>
      <c r="K225" s="527"/>
      <c r="L225" s="101"/>
      <c r="M225" s="101"/>
    </row>
    <row r="226" spans="1:26" ht="30" customHeight="1" x14ac:dyDescent="0.25">
      <c r="B226" s="435"/>
      <c r="C226" s="435"/>
      <c r="D226" s="435"/>
      <c r="E226" s="435"/>
      <c r="F226" s="439"/>
      <c r="G226" s="439"/>
      <c r="H226" s="437"/>
      <c r="I226" s="437"/>
      <c r="J226" s="116"/>
      <c r="K226" s="435"/>
      <c r="L226" s="116"/>
      <c r="M226" s="116"/>
    </row>
    <row r="227" spans="1:26" ht="40.950000000000003" customHeight="1" x14ac:dyDescent="0.3">
      <c r="A227" s="361"/>
      <c r="B227" s="86" t="s">
        <v>773</v>
      </c>
      <c r="C227" s="61"/>
      <c r="D227" s="61"/>
      <c r="E227" s="61"/>
      <c r="F227" s="1071" t="s">
        <v>114</v>
      </c>
      <c r="G227" s="1071"/>
      <c r="H227" s="1071" t="s">
        <v>113</v>
      </c>
      <c r="I227" s="1071"/>
      <c r="J227" s="1071" t="s">
        <v>243</v>
      </c>
      <c r="K227" s="1071"/>
      <c r="L227" s="63"/>
      <c r="M227" s="63"/>
    </row>
    <row r="228" spans="1:26" ht="13.8" thickBot="1" x14ac:dyDescent="0.3">
      <c r="A228" s="361"/>
      <c r="B228" s="61"/>
      <c r="C228" s="61"/>
      <c r="D228" s="61"/>
      <c r="E228" s="61"/>
      <c r="F228" s="61"/>
      <c r="G228" s="61"/>
      <c r="H228" s="62"/>
      <c r="I228" s="62"/>
      <c r="J228" s="63"/>
      <c r="K228" s="63"/>
      <c r="L228" s="63"/>
      <c r="M228" s="63"/>
    </row>
    <row r="229" spans="1:26" ht="13.8" thickBot="1" x14ac:dyDescent="0.3">
      <c r="A229" s="361"/>
      <c r="B229" s="61"/>
      <c r="C229" s="61" t="s">
        <v>710</v>
      </c>
      <c r="D229" s="61"/>
      <c r="E229" s="61"/>
      <c r="F229" s="388">
        <f>IF(S10&gt;0,S10*'Gårdens info'!$G$33/1,0)</f>
        <v>900</v>
      </c>
      <c r="G229" s="61" t="s">
        <v>31</v>
      </c>
      <c r="H229" s="77"/>
      <c r="I229" s="62" t="s">
        <v>246</v>
      </c>
      <c r="J229" s="64">
        <f>F229*H229</f>
        <v>0</v>
      </c>
      <c r="K229" s="61" t="s">
        <v>57</v>
      </c>
      <c r="L229" s="63"/>
      <c r="M229" s="63"/>
    </row>
    <row r="230" spans="1:26" ht="13.8" thickBot="1" x14ac:dyDescent="0.3">
      <c r="A230" s="361"/>
      <c r="B230" s="61"/>
      <c r="C230" s="61" t="s">
        <v>626</v>
      </c>
      <c r="D230" s="63"/>
      <c r="E230" s="61"/>
      <c r="F230" s="388">
        <f>IF(S11&gt;0,S11*'Gårdens info'!$G$33/5,0)</f>
        <v>0</v>
      </c>
      <c r="G230" s="61" t="s">
        <v>31</v>
      </c>
      <c r="H230" s="77">
        <v>0.1</v>
      </c>
      <c r="I230" s="62" t="s">
        <v>246</v>
      </c>
      <c r="J230" s="64">
        <f>F230*H230</f>
        <v>0</v>
      </c>
      <c r="K230" s="61" t="s">
        <v>57</v>
      </c>
      <c r="L230" s="63"/>
      <c r="M230" s="63"/>
    </row>
    <row r="231" spans="1:26" ht="13.8" thickBot="1" x14ac:dyDescent="0.3">
      <c r="A231" s="361"/>
      <c r="B231" s="61"/>
      <c r="C231" s="61" t="s">
        <v>627</v>
      </c>
      <c r="D231" s="63"/>
      <c r="E231" s="61"/>
      <c r="F231" s="388">
        <f>IF(S12&gt;0,S12*'Gårdens info'!$G$33/3,0)</f>
        <v>1050</v>
      </c>
      <c r="G231" s="61" t="s">
        <v>31</v>
      </c>
      <c r="H231" s="77">
        <v>0.1</v>
      </c>
      <c r="I231" s="62" t="s">
        <v>246</v>
      </c>
      <c r="J231" s="64">
        <f t="shared" ref="J231:J236" si="20">F231*H231</f>
        <v>105</v>
      </c>
      <c r="K231" s="61" t="s">
        <v>57</v>
      </c>
      <c r="L231" s="63"/>
      <c r="M231" s="63"/>
    </row>
    <row r="232" spans="1:26" ht="13.8" thickBot="1" x14ac:dyDescent="0.3">
      <c r="A232" s="361"/>
      <c r="B232" s="61"/>
      <c r="C232" s="61" t="s">
        <v>628</v>
      </c>
      <c r="D232" s="63"/>
      <c r="E232" s="61"/>
      <c r="F232" s="388">
        <f>IF(S13&gt;0,S13*'Gårdens info'!$G$33/0.5,0)</f>
        <v>900</v>
      </c>
      <c r="G232" s="61" t="s">
        <v>31</v>
      </c>
      <c r="H232" s="77">
        <v>0.05</v>
      </c>
      <c r="I232" s="62" t="s">
        <v>246</v>
      </c>
      <c r="J232" s="64">
        <f t="shared" si="20"/>
        <v>45</v>
      </c>
      <c r="K232" s="61" t="s">
        <v>57</v>
      </c>
      <c r="L232" s="63"/>
      <c r="M232" s="63"/>
    </row>
    <row r="233" spans="1:26" ht="13.8" thickBot="1" x14ac:dyDescent="0.3">
      <c r="A233" s="361"/>
      <c r="B233" s="61"/>
      <c r="C233" s="61" t="s">
        <v>629</v>
      </c>
      <c r="D233" s="63"/>
      <c r="E233" s="61"/>
      <c r="F233" s="388">
        <f>IF(S14&gt;0,S14*'Gårdens info'!$G$33/0.25,0)</f>
        <v>0</v>
      </c>
      <c r="G233" s="61" t="s">
        <v>31</v>
      </c>
      <c r="H233" s="77">
        <v>0.04</v>
      </c>
      <c r="I233" s="62" t="s">
        <v>246</v>
      </c>
      <c r="J233" s="64">
        <f t="shared" si="20"/>
        <v>0</v>
      </c>
      <c r="K233" s="61" t="s">
        <v>57</v>
      </c>
      <c r="L233" s="63"/>
      <c r="M233" s="63"/>
    </row>
    <row r="234" spans="1:26" ht="13.8" thickBot="1" x14ac:dyDescent="0.3">
      <c r="A234" s="361"/>
      <c r="B234" s="61"/>
      <c r="C234" s="74" t="s">
        <v>216</v>
      </c>
      <c r="D234" s="74"/>
      <c r="E234" s="61" t="s">
        <v>212</v>
      </c>
      <c r="F234" s="388">
        <f>IF(S15&gt;0,S15*'Gårdens info'!$G$33/D234,0)</f>
        <v>0</v>
      </c>
      <c r="G234" s="61" t="s">
        <v>31</v>
      </c>
      <c r="H234" s="77"/>
      <c r="I234" s="62" t="s">
        <v>246</v>
      </c>
      <c r="J234" s="64">
        <f t="shared" si="20"/>
        <v>0</v>
      </c>
      <c r="K234" s="61" t="s">
        <v>57</v>
      </c>
      <c r="L234" s="63"/>
      <c r="M234" s="63"/>
    </row>
    <row r="235" spans="1:26" ht="13.8" thickBot="1" x14ac:dyDescent="0.3">
      <c r="A235" s="361"/>
      <c r="B235" s="61"/>
      <c r="C235" s="74" t="s">
        <v>216</v>
      </c>
      <c r="D235" s="74"/>
      <c r="E235" s="61" t="s">
        <v>212</v>
      </c>
      <c r="F235" s="388">
        <f>IF(S16&gt;0,S16*'Gårdens info'!$G$33/D235,0)</f>
        <v>0</v>
      </c>
      <c r="G235" s="61" t="s">
        <v>31</v>
      </c>
      <c r="H235" s="77"/>
      <c r="I235" s="62" t="s">
        <v>246</v>
      </c>
      <c r="J235" s="64">
        <f t="shared" si="20"/>
        <v>0</v>
      </c>
      <c r="K235" s="61" t="s">
        <v>57</v>
      </c>
      <c r="L235" s="63"/>
      <c r="M235" s="63"/>
    </row>
    <row r="236" spans="1:26" ht="13.8" thickBot="1" x14ac:dyDescent="0.3">
      <c r="B236" s="61"/>
      <c r="C236" s="74" t="s">
        <v>216</v>
      </c>
      <c r="D236" s="74"/>
      <c r="E236" s="61" t="s">
        <v>212</v>
      </c>
      <c r="F236" s="388">
        <f>IF(S17&gt;0,S17*'Gårdens info'!$G$33/D236,0)</f>
        <v>0</v>
      </c>
      <c r="G236" s="61" t="s">
        <v>31</v>
      </c>
      <c r="H236" s="77"/>
      <c r="I236" s="62" t="s">
        <v>246</v>
      </c>
      <c r="J236" s="64">
        <f t="shared" si="20"/>
        <v>0</v>
      </c>
      <c r="K236" s="61" t="s">
        <v>57</v>
      </c>
      <c r="L236" s="63"/>
      <c r="M236" s="63"/>
    </row>
    <row r="237" spans="1:26" x14ac:dyDescent="0.25">
      <c r="B237" s="198"/>
      <c r="C237" s="198" t="s">
        <v>54</v>
      </c>
      <c r="D237" s="198"/>
      <c r="E237" s="198"/>
      <c r="F237" s="198"/>
      <c r="G237" s="198"/>
      <c r="H237" s="199"/>
      <c r="I237" s="199"/>
      <c r="J237" s="200">
        <f>SUM(J230:J236)</f>
        <v>150</v>
      </c>
      <c r="K237" s="198" t="s">
        <v>57</v>
      </c>
      <c r="L237" s="198"/>
      <c r="M237" s="198"/>
    </row>
    <row r="238" spans="1:26" s="5" customFormat="1" x14ac:dyDescent="0.25">
      <c r="A238" s="356"/>
      <c r="B238" s="61"/>
      <c r="C238" s="61"/>
      <c r="D238" s="61"/>
      <c r="E238" s="61"/>
      <c r="F238" s="61"/>
      <c r="G238" s="61"/>
      <c r="H238" s="62"/>
      <c r="I238" s="62"/>
      <c r="J238" s="64"/>
      <c r="K238" s="61"/>
      <c r="L238" s="63"/>
      <c r="M238" s="63"/>
      <c r="N238"/>
      <c r="O238"/>
      <c r="P238"/>
      <c r="Q238"/>
      <c r="R238"/>
      <c r="S238"/>
      <c r="T238"/>
      <c r="U238"/>
      <c r="Y238"/>
      <c r="Z238"/>
    </row>
    <row r="239" spans="1:26" ht="30" customHeight="1" x14ac:dyDescent="0.25">
      <c r="B239" s="435"/>
      <c r="C239" s="435"/>
      <c r="D239" s="435"/>
      <c r="E239" s="435"/>
      <c r="F239" s="439"/>
      <c r="G239" s="439"/>
      <c r="H239" s="437"/>
      <c r="I239" s="437"/>
      <c r="J239" s="116"/>
      <c r="K239" s="435"/>
      <c r="L239" s="116"/>
      <c r="M239" s="116"/>
    </row>
    <row r="240" spans="1:26" ht="30" customHeight="1" x14ac:dyDescent="0.3">
      <c r="B240" s="87" t="s">
        <v>774</v>
      </c>
      <c r="C240" s="65"/>
      <c r="D240" s="65"/>
      <c r="E240" s="65"/>
      <c r="F240" s="1072" t="s">
        <v>114</v>
      </c>
      <c r="G240" s="1072"/>
      <c r="H240" s="1072" t="s">
        <v>113</v>
      </c>
      <c r="I240" s="1072"/>
      <c r="J240" s="1072" t="s">
        <v>243</v>
      </c>
      <c r="K240" s="1072"/>
      <c r="L240" s="67"/>
      <c r="M240" s="67"/>
    </row>
    <row r="241" spans="1:26" ht="13.8" thickBot="1" x14ac:dyDescent="0.3">
      <c r="B241" s="65"/>
      <c r="C241" s="65"/>
      <c r="D241" s="65"/>
      <c r="E241" s="65"/>
      <c r="F241" s="65"/>
      <c r="G241" s="65"/>
      <c r="H241" s="66"/>
      <c r="I241" s="66"/>
      <c r="J241" s="67"/>
      <c r="K241" s="67"/>
      <c r="L241" s="67"/>
      <c r="M241" s="67"/>
    </row>
    <row r="242" spans="1:26" ht="13.8" thickBot="1" x14ac:dyDescent="0.3">
      <c r="B242" s="65"/>
      <c r="C242" s="65" t="s">
        <v>753</v>
      </c>
      <c r="D242" s="67"/>
      <c r="E242" s="65"/>
      <c r="F242" s="74">
        <f>'Gårdens info'!D33*'Gårdens info'!G33</f>
        <v>0</v>
      </c>
      <c r="G242" s="65" t="s">
        <v>212</v>
      </c>
      <c r="H242" s="77">
        <v>0.5</v>
      </c>
      <c r="I242" s="66" t="s">
        <v>206</v>
      </c>
      <c r="J242" s="68">
        <f t="shared" ref="J242:J244" si="21">F242*H242</f>
        <v>0</v>
      </c>
      <c r="K242" s="65" t="s">
        <v>57</v>
      </c>
      <c r="L242" s="67"/>
      <c r="M242" s="67"/>
    </row>
    <row r="243" spans="1:26" ht="13.8" thickBot="1" x14ac:dyDescent="0.3">
      <c r="B243" s="65"/>
      <c r="C243" s="65" t="s">
        <v>274</v>
      </c>
      <c r="D243" s="65"/>
      <c r="E243" s="65"/>
      <c r="F243" s="74"/>
      <c r="G243" s="65" t="s">
        <v>212</v>
      </c>
      <c r="H243" s="77"/>
      <c r="I243" s="66" t="s">
        <v>206</v>
      </c>
      <c r="J243" s="68">
        <f t="shared" si="21"/>
        <v>0</v>
      </c>
      <c r="K243" s="65" t="s">
        <v>57</v>
      </c>
      <c r="L243" s="67"/>
      <c r="M243" s="67"/>
    </row>
    <row r="244" spans="1:26" ht="13.8" thickBot="1" x14ac:dyDescent="0.3">
      <c r="B244" s="65"/>
      <c r="C244" s="65" t="s">
        <v>274</v>
      </c>
      <c r="D244" s="65"/>
      <c r="E244" s="65"/>
      <c r="F244" s="74"/>
      <c r="G244" s="65" t="s">
        <v>212</v>
      </c>
      <c r="H244" s="77"/>
      <c r="I244" s="66" t="s">
        <v>206</v>
      </c>
      <c r="J244" s="68">
        <f t="shared" si="21"/>
        <v>0</v>
      </c>
      <c r="K244" s="65" t="s">
        <v>57</v>
      </c>
      <c r="L244" s="67"/>
      <c r="M244" s="67"/>
    </row>
    <row r="245" spans="1:26" x14ac:dyDescent="0.25">
      <c r="B245" s="201"/>
      <c r="C245" s="201" t="s">
        <v>54</v>
      </c>
      <c r="D245" s="201"/>
      <c r="E245" s="201"/>
      <c r="F245" s="201"/>
      <c r="G245" s="201"/>
      <c r="H245" s="202"/>
      <c r="I245" s="202"/>
      <c r="J245" s="203">
        <f>SUM(J242:J244)</f>
        <v>0</v>
      </c>
      <c r="K245" s="201" t="s">
        <v>57</v>
      </c>
      <c r="L245" s="201"/>
      <c r="M245" s="201"/>
    </row>
    <row r="246" spans="1:26" s="5" customFormat="1" x14ac:dyDescent="0.25">
      <c r="A246" s="356"/>
      <c r="B246" s="65"/>
      <c r="C246" s="65"/>
      <c r="D246" s="65"/>
      <c r="E246" s="65"/>
      <c r="F246" s="65"/>
      <c r="G246" s="65"/>
      <c r="H246" s="66"/>
      <c r="I246" s="66"/>
      <c r="J246" s="68"/>
      <c r="K246" s="65"/>
      <c r="L246" s="67"/>
      <c r="M246" s="67"/>
      <c r="N246"/>
      <c r="O246"/>
      <c r="P246"/>
      <c r="Q246"/>
      <c r="R246"/>
      <c r="S246"/>
      <c r="T246"/>
      <c r="U246"/>
      <c r="Y246"/>
      <c r="Z246"/>
    </row>
    <row r="247" spans="1:26" ht="36" customHeight="1" x14ac:dyDescent="0.25">
      <c r="B247" s="116"/>
      <c r="C247" s="116"/>
      <c r="D247" s="116"/>
      <c r="E247" s="116"/>
      <c r="F247" s="116"/>
      <c r="G247" s="116"/>
      <c r="H247" s="116"/>
      <c r="I247" s="116"/>
      <c r="J247" s="116"/>
      <c r="K247" s="116"/>
      <c r="L247" s="116"/>
      <c r="M247" s="116"/>
    </row>
    <row r="248" spans="1:26" ht="36" customHeight="1" x14ac:dyDescent="0.3">
      <c r="B248" s="176" t="s">
        <v>775</v>
      </c>
      <c r="C248" s="177"/>
      <c r="D248" s="177"/>
      <c r="E248" s="177"/>
      <c r="F248" s="1067" t="s">
        <v>114</v>
      </c>
      <c r="G248" s="1067"/>
      <c r="H248" s="1067" t="s">
        <v>113</v>
      </c>
      <c r="I248" s="1067"/>
      <c r="J248" s="1067" t="s">
        <v>243</v>
      </c>
      <c r="K248" s="1067"/>
      <c r="L248" s="179"/>
      <c r="M248" s="179"/>
    </row>
    <row r="249" spans="1:26" ht="13.8" thickBot="1" x14ac:dyDescent="0.3">
      <c r="B249" s="177"/>
      <c r="C249" s="177"/>
      <c r="D249" s="177"/>
      <c r="E249" s="177"/>
      <c r="F249" s="177"/>
      <c r="G249" s="177"/>
      <c r="H249" s="178"/>
      <c r="I249" s="178"/>
      <c r="J249" s="179"/>
      <c r="K249" s="179"/>
      <c r="L249" s="179"/>
      <c r="M249" s="179"/>
    </row>
    <row r="250" spans="1:26" ht="13.8" thickBot="1" x14ac:dyDescent="0.3">
      <c r="B250" s="177"/>
      <c r="C250" s="177" t="s">
        <v>276</v>
      </c>
      <c r="D250" s="179"/>
      <c r="E250" s="177"/>
      <c r="F250" s="74"/>
      <c r="G250" s="177" t="s">
        <v>7</v>
      </c>
      <c r="H250" s="77"/>
      <c r="I250" s="178" t="s">
        <v>57</v>
      </c>
      <c r="J250" s="180">
        <f t="shared" ref="J250:J252" si="22">F250*H250</f>
        <v>0</v>
      </c>
      <c r="K250" s="177" t="s">
        <v>57</v>
      </c>
      <c r="L250" s="179"/>
      <c r="M250" s="179"/>
    </row>
    <row r="251" spans="1:26" ht="13.8" thickBot="1" x14ac:dyDescent="0.3">
      <c r="B251" s="177"/>
      <c r="C251" s="177" t="s">
        <v>276</v>
      </c>
      <c r="D251" s="177"/>
      <c r="E251" s="177"/>
      <c r="F251" s="74"/>
      <c r="G251" s="177" t="s">
        <v>7</v>
      </c>
      <c r="H251" s="77"/>
      <c r="I251" s="178" t="s">
        <v>57</v>
      </c>
      <c r="J251" s="180">
        <f t="shared" si="22"/>
        <v>0</v>
      </c>
      <c r="K251" s="177" t="s">
        <v>57</v>
      </c>
      <c r="L251" s="179"/>
      <c r="M251" s="179"/>
    </row>
    <row r="252" spans="1:26" ht="13.8" thickBot="1" x14ac:dyDescent="0.3">
      <c r="B252" s="177"/>
      <c r="C252" s="177" t="s">
        <v>276</v>
      </c>
      <c r="D252" s="177"/>
      <c r="E252" s="177"/>
      <c r="F252" s="74"/>
      <c r="G252" s="177" t="s">
        <v>7</v>
      </c>
      <c r="H252" s="77"/>
      <c r="I252" s="178" t="s">
        <v>57</v>
      </c>
      <c r="J252" s="180">
        <f t="shared" si="22"/>
        <v>0</v>
      </c>
      <c r="K252" s="177" t="s">
        <v>57</v>
      </c>
      <c r="L252" s="179"/>
      <c r="M252" s="179"/>
    </row>
    <row r="253" spans="1:26" s="5" customFormat="1" x14ac:dyDescent="0.25">
      <c r="A253" s="356"/>
      <c r="B253" s="204"/>
      <c r="C253" s="204" t="s">
        <v>54</v>
      </c>
      <c r="D253" s="204"/>
      <c r="E253" s="204"/>
      <c r="F253" s="204"/>
      <c r="G253" s="204"/>
      <c r="H253" s="205"/>
      <c r="I253" s="205"/>
      <c r="J253" s="206">
        <f>SUM(J250:J252)</f>
        <v>0</v>
      </c>
      <c r="K253" s="204" t="s">
        <v>57</v>
      </c>
      <c r="L253" s="204"/>
      <c r="M253" s="204"/>
      <c r="N253"/>
      <c r="O253"/>
      <c r="P253"/>
      <c r="Q253"/>
      <c r="R253"/>
      <c r="S253"/>
      <c r="T253"/>
      <c r="U253"/>
      <c r="Y253"/>
      <c r="Z253"/>
    </row>
    <row r="254" spans="1:26" x14ac:dyDescent="0.25">
      <c r="B254" s="177"/>
      <c r="C254" s="177"/>
      <c r="D254" s="177"/>
      <c r="E254" s="177"/>
      <c r="F254" s="177"/>
      <c r="G254" s="177"/>
      <c r="H254" s="178"/>
      <c r="I254" s="178"/>
      <c r="J254" s="180"/>
      <c r="K254" s="177"/>
      <c r="L254" s="179"/>
      <c r="M254" s="179"/>
      <c r="N254" s="5"/>
      <c r="O254" s="5"/>
      <c r="P254" s="5"/>
      <c r="Q254" s="5"/>
      <c r="R254" s="5"/>
      <c r="S254" s="5"/>
      <c r="T254" s="5"/>
      <c r="U254" s="5"/>
      <c r="Y254" s="5"/>
      <c r="Z254" s="5"/>
    </row>
    <row r="255" spans="1:26" ht="33" customHeight="1" x14ac:dyDescent="0.25">
      <c r="B255" s="116"/>
      <c r="C255" s="116"/>
      <c r="D255" s="116"/>
      <c r="E255" s="116"/>
      <c r="F255" s="116"/>
      <c r="G255" s="116"/>
      <c r="H255" s="116"/>
      <c r="I255" s="116"/>
      <c r="J255" s="116"/>
      <c r="K255" s="116"/>
      <c r="L255" s="116"/>
      <c r="M255" s="116"/>
    </row>
    <row r="256" spans="1:26" ht="15.6" x14ac:dyDescent="0.3">
      <c r="B256" s="181" t="s">
        <v>745</v>
      </c>
      <c r="C256" s="182"/>
      <c r="D256" s="182"/>
      <c r="E256" s="183"/>
      <c r="F256" s="182" t="s">
        <v>114</v>
      </c>
      <c r="G256" s="184"/>
      <c r="H256" s="184" t="s">
        <v>113</v>
      </c>
      <c r="I256" s="182"/>
      <c r="J256" s="182" t="s">
        <v>243</v>
      </c>
      <c r="K256" s="185"/>
      <c r="L256" s="185"/>
      <c r="M256" s="185"/>
    </row>
    <row r="257" spans="1:26" ht="16.2" thickBot="1" x14ac:dyDescent="0.35">
      <c r="B257" s="181"/>
      <c r="C257" s="182"/>
      <c r="D257" s="182"/>
      <c r="E257" s="183"/>
      <c r="F257" s="182"/>
      <c r="G257" s="184"/>
      <c r="H257" s="184"/>
      <c r="I257" s="182"/>
      <c r="J257" s="182"/>
      <c r="K257" s="185"/>
      <c r="L257" s="185"/>
      <c r="M257" s="185"/>
    </row>
    <row r="258" spans="1:26" ht="13.8" thickBot="1" x14ac:dyDescent="0.3">
      <c r="B258" s="182"/>
      <c r="C258" s="182" t="s">
        <v>278</v>
      </c>
      <c r="D258" s="185"/>
      <c r="E258" s="186"/>
      <c r="F258" s="74"/>
      <c r="G258" s="187" t="s">
        <v>279</v>
      </c>
      <c r="H258" s="74"/>
      <c r="I258" s="188" t="s">
        <v>280</v>
      </c>
      <c r="J258" s="185">
        <f>H258*F258</f>
        <v>0</v>
      </c>
      <c r="K258" s="188" t="s">
        <v>57</v>
      </c>
      <c r="L258" s="185"/>
      <c r="M258" s="185"/>
    </row>
    <row r="259" spans="1:26" ht="13.8" thickBot="1" x14ac:dyDescent="0.3">
      <c r="B259" s="182"/>
      <c r="C259" s="182" t="s">
        <v>685</v>
      </c>
      <c r="D259" s="188">
        <f>F286/2</f>
        <v>34</v>
      </c>
      <c r="E259" s="182" t="s">
        <v>282</v>
      </c>
      <c r="F259" s="74">
        <f>+D259*8</f>
        <v>272</v>
      </c>
      <c r="G259" s="184" t="s">
        <v>256</v>
      </c>
      <c r="H259" s="74">
        <v>0.83</v>
      </c>
      <c r="I259" s="188" t="s">
        <v>257</v>
      </c>
      <c r="J259" s="185">
        <f>H259*F259</f>
        <v>225.76</v>
      </c>
      <c r="K259" s="188" t="s">
        <v>57</v>
      </c>
      <c r="L259" s="185"/>
      <c r="M259" s="185"/>
    </row>
    <row r="260" spans="1:26" ht="13.8" thickBot="1" x14ac:dyDescent="0.3">
      <c r="B260" s="182"/>
      <c r="C260" s="182" t="s">
        <v>686</v>
      </c>
      <c r="D260" s="188">
        <f>D259</f>
        <v>34</v>
      </c>
      <c r="E260" s="182" t="s">
        <v>282</v>
      </c>
      <c r="F260" s="74">
        <v>11.88</v>
      </c>
      <c r="G260" s="184" t="s">
        <v>212</v>
      </c>
      <c r="H260" s="74">
        <v>4</v>
      </c>
      <c r="I260" s="188" t="s">
        <v>206</v>
      </c>
      <c r="J260" s="185">
        <f t="shared" ref="J260:J264" si="23">H260*F260</f>
        <v>47.52</v>
      </c>
      <c r="K260" s="188" t="s">
        <v>57</v>
      </c>
      <c r="L260" s="185"/>
      <c r="M260" s="185"/>
    </row>
    <row r="261" spans="1:26" ht="13.8" thickBot="1" x14ac:dyDescent="0.3">
      <c r="B261" s="182"/>
      <c r="C261" s="182" t="s">
        <v>284</v>
      </c>
      <c r="D261" s="185"/>
      <c r="E261" s="188"/>
      <c r="F261" s="74">
        <v>200</v>
      </c>
      <c r="G261" s="184" t="s">
        <v>256</v>
      </c>
      <c r="H261" s="74">
        <v>1.53</v>
      </c>
      <c r="I261" s="188" t="s">
        <v>257</v>
      </c>
      <c r="J261" s="185">
        <f t="shared" si="23"/>
        <v>306</v>
      </c>
      <c r="K261" s="188" t="s">
        <v>57</v>
      </c>
      <c r="L261" s="185"/>
      <c r="M261" s="185"/>
    </row>
    <row r="262" spans="1:26" ht="13.8" thickBot="1" x14ac:dyDescent="0.3">
      <c r="B262" s="182"/>
      <c r="C262" s="182" t="s">
        <v>285</v>
      </c>
      <c r="D262" s="185"/>
      <c r="E262" s="188"/>
      <c r="F262" s="74">
        <v>1.48</v>
      </c>
      <c r="G262" s="184" t="s">
        <v>256</v>
      </c>
      <c r="H262" s="74">
        <v>1.6</v>
      </c>
      <c r="I262" s="188" t="s">
        <v>257</v>
      </c>
      <c r="J262" s="185">
        <f t="shared" si="23"/>
        <v>2.3679999999999999</v>
      </c>
      <c r="K262" s="188" t="s">
        <v>57</v>
      </c>
      <c r="L262" s="185"/>
      <c r="M262" s="185"/>
    </row>
    <row r="263" spans="1:26" ht="13.8" thickBot="1" x14ac:dyDescent="0.3">
      <c r="B263" s="182"/>
      <c r="C263" s="182" t="s">
        <v>286</v>
      </c>
      <c r="D263" s="185"/>
      <c r="E263" s="188"/>
      <c r="F263" s="74"/>
      <c r="G263" s="184"/>
      <c r="H263" s="74"/>
      <c r="I263" s="188"/>
      <c r="J263" s="185">
        <f t="shared" si="23"/>
        <v>0</v>
      </c>
      <c r="K263" s="188" t="s">
        <v>57</v>
      </c>
      <c r="L263" s="185"/>
      <c r="M263" s="185"/>
    </row>
    <row r="264" spans="1:26" ht="13.8" thickBot="1" x14ac:dyDescent="0.3">
      <c r="B264" s="185"/>
      <c r="C264" s="182" t="s">
        <v>286</v>
      </c>
      <c r="D264" s="185"/>
      <c r="E264" s="185"/>
      <c r="F264" s="74"/>
      <c r="G264" s="185"/>
      <c r="H264" s="74"/>
      <c r="I264" s="185"/>
      <c r="J264" s="185">
        <f t="shared" si="23"/>
        <v>0</v>
      </c>
      <c r="K264" s="188" t="s">
        <v>57</v>
      </c>
      <c r="L264" s="185"/>
      <c r="M264" s="185"/>
    </row>
    <row r="265" spans="1:26" s="5" customFormat="1" x14ac:dyDescent="0.25">
      <c r="A265" s="356"/>
      <c r="B265" s="207"/>
      <c r="C265" s="207" t="s">
        <v>54</v>
      </c>
      <c r="D265" s="207"/>
      <c r="E265" s="207"/>
      <c r="F265" s="207"/>
      <c r="G265" s="207"/>
      <c r="H265" s="207"/>
      <c r="I265" s="207"/>
      <c r="J265" s="207">
        <f>SUM(J258:J264)</f>
        <v>581.64800000000002</v>
      </c>
      <c r="K265" s="208" t="s">
        <v>57</v>
      </c>
      <c r="L265" s="207"/>
      <c r="M265" s="207"/>
      <c r="N265"/>
      <c r="O265"/>
      <c r="P265"/>
      <c r="Q265"/>
      <c r="R265"/>
      <c r="S265"/>
      <c r="T265"/>
      <c r="U265"/>
      <c r="Y265"/>
      <c r="Z265"/>
    </row>
    <row r="266" spans="1:26" x14ac:dyDescent="0.25">
      <c r="B266" s="185"/>
      <c r="C266" s="185"/>
      <c r="D266" s="185"/>
      <c r="E266" s="185"/>
      <c r="F266" s="185"/>
      <c r="G266" s="185"/>
      <c r="H266" s="185"/>
      <c r="I266" s="185"/>
      <c r="J266" s="185"/>
      <c r="K266" s="185"/>
      <c r="L266" s="185"/>
      <c r="M266" s="185"/>
      <c r="N266" s="5"/>
      <c r="O266" s="5"/>
      <c r="P266" s="5"/>
      <c r="Q266" s="5"/>
      <c r="R266" s="5"/>
      <c r="S266" s="5"/>
      <c r="T266" s="5"/>
      <c r="U266" s="5"/>
      <c r="Y266" s="5"/>
      <c r="Z266" s="5"/>
    </row>
    <row r="267" spans="1:26" ht="37.950000000000003" customHeight="1" x14ac:dyDescent="0.25">
      <c r="B267" s="116"/>
      <c r="C267" s="116"/>
      <c r="D267" s="116"/>
      <c r="E267" s="116"/>
      <c r="F267" s="116"/>
      <c r="G267" s="116"/>
      <c r="H267" s="116"/>
      <c r="I267" s="116"/>
      <c r="J267" s="116"/>
      <c r="K267" s="116"/>
      <c r="L267" s="116"/>
      <c r="M267" s="116"/>
    </row>
    <row r="268" spans="1:26" ht="22.2" customHeight="1" x14ac:dyDescent="0.3">
      <c r="B268" s="88" t="s">
        <v>776</v>
      </c>
      <c r="C268" s="79"/>
      <c r="D268" s="79"/>
      <c r="E268" s="79"/>
      <c r="F268" s="79"/>
      <c r="G268" s="79"/>
      <c r="H268" s="79"/>
      <c r="I268" s="79"/>
      <c r="J268" s="79"/>
      <c r="K268" s="79"/>
      <c r="L268" s="79"/>
      <c r="M268" s="79"/>
    </row>
    <row r="269" spans="1:26" ht="12" customHeight="1" x14ac:dyDescent="0.3">
      <c r="B269" s="88"/>
      <c r="C269" s="79"/>
      <c r="D269" s="79"/>
      <c r="E269" s="79"/>
      <c r="F269" s="79"/>
      <c r="G269" s="79"/>
      <c r="H269" s="79"/>
      <c r="I269" s="79"/>
      <c r="J269" s="79"/>
      <c r="K269" s="79"/>
      <c r="L269" s="79"/>
      <c r="M269" s="79"/>
    </row>
    <row r="270" spans="1:26" ht="40.200000000000003" customHeight="1" x14ac:dyDescent="0.25">
      <c r="B270" s="1096" t="s">
        <v>699</v>
      </c>
      <c r="C270" s="1096"/>
      <c r="D270" s="1096"/>
      <c r="E270" s="1096"/>
      <c r="F270" s="1096"/>
      <c r="G270" s="1096"/>
      <c r="H270" s="1096"/>
      <c r="I270" s="1096"/>
      <c r="J270" s="1096"/>
      <c r="K270" s="1096"/>
      <c r="L270" s="1096"/>
      <c r="M270" s="1096"/>
    </row>
    <row r="271" spans="1:26" ht="22.2" customHeight="1" x14ac:dyDescent="0.3">
      <c r="B271" s="88"/>
      <c r="C271" s="79"/>
      <c r="D271" s="79"/>
      <c r="E271" s="83"/>
      <c r="F271" s="83"/>
      <c r="G271" s="83"/>
      <c r="H271" s="84"/>
      <c r="I271" s="84"/>
      <c r="J271" s="83"/>
      <c r="K271" s="83"/>
      <c r="L271" s="84"/>
      <c r="M271" s="84"/>
    </row>
    <row r="272" spans="1:26" ht="22.2" customHeight="1" x14ac:dyDescent="0.3">
      <c r="B272" s="88"/>
      <c r="C272" s="79"/>
      <c r="D272" s="79"/>
      <c r="E272" s="1069" t="s">
        <v>290</v>
      </c>
      <c r="F272" s="1069"/>
      <c r="G272" s="1069"/>
      <c r="H272" s="1070" t="s">
        <v>113</v>
      </c>
      <c r="I272" s="1070"/>
      <c r="J272" s="1069" t="s">
        <v>291</v>
      </c>
      <c r="K272" s="1069"/>
      <c r="L272" s="1070" t="s">
        <v>113</v>
      </c>
      <c r="M272" s="1070"/>
    </row>
    <row r="273" spans="1:26" ht="10.95" customHeight="1" thickBot="1" x14ac:dyDescent="0.3">
      <c r="B273" s="78"/>
      <c r="C273" s="79"/>
      <c r="D273" s="79"/>
      <c r="E273" s="79"/>
      <c r="F273" s="79"/>
      <c r="G273" s="79"/>
      <c r="H273" s="79"/>
      <c r="I273" s="79"/>
      <c r="J273" s="79"/>
      <c r="K273" s="79"/>
      <c r="L273" s="79"/>
      <c r="M273" s="79"/>
    </row>
    <row r="274" spans="1:26" ht="13.8" thickBot="1" x14ac:dyDescent="0.3">
      <c r="B274" s="79"/>
      <c r="C274" s="80" t="s">
        <v>297</v>
      </c>
      <c r="D274" s="79"/>
      <c r="E274" s="79"/>
      <c r="F274" s="91">
        <v>2</v>
      </c>
      <c r="G274" s="82" t="s">
        <v>293</v>
      </c>
      <c r="H274" s="90">
        <f t="shared" ref="H274:H285" si="24">$H$166</f>
        <v>14.5</v>
      </c>
      <c r="I274" s="82" t="s">
        <v>294</v>
      </c>
      <c r="J274" s="92"/>
      <c r="K274" s="82" t="s">
        <v>293</v>
      </c>
      <c r="L274" s="90">
        <f t="shared" ref="L274:L285" si="25">$L$166</f>
        <v>14.5</v>
      </c>
      <c r="M274" s="82" t="s">
        <v>294</v>
      </c>
    </row>
    <row r="275" spans="1:26" ht="13.8" thickBot="1" x14ac:dyDescent="0.3">
      <c r="B275" s="79"/>
      <c r="C275" s="80" t="s">
        <v>747</v>
      </c>
      <c r="D275" s="79"/>
      <c r="E275" s="79"/>
      <c r="F275" s="91">
        <v>5</v>
      </c>
      <c r="G275" s="82" t="s">
        <v>293</v>
      </c>
      <c r="H275" s="90">
        <f t="shared" si="24"/>
        <v>14.5</v>
      </c>
      <c r="I275" s="82" t="s">
        <v>294</v>
      </c>
      <c r="J275" s="92"/>
      <c r="K275" s="82" t="s">
        <v>293</v>
      </c>
      <c r="L275" s="90">
        <f t="shared" si="25"/>
        <v>14.5</v>
      </c>
      <c r="M275" s="82" t="s">
        <v>294</v>
      </c>
    </row>
    <row r="276" spans="1:26" ht="13.8" thickBot="1" x14ac:dyDescent="0.3">
      <c r="B276" s="79"/>
      <c r="C276" s="80" t="s">
        <v>777</v>
      </c>
      <c r="D276" s="79"/>
      <c r="E276" s="79"/>
      <c r="F276" s="91">
        <v>1</v>
      </c>
      <c r="G276" s="82" t="s">
        <v>293</v>
      </c>
      <c r="H276" s="90">
        <f t="shared" si="24"/>
        <v>14.5</v>
      </c>
      <c r="I276" s="82" t="s">
        <v>294</v>
      </c>
      <c r="J276" s="92"/>
      <c r="K276" s="82" t="s">
        <v>293</v>
      </c>
      <c r="L276" s="90">
        <f t="shared" si="25"/>
        <v>14.5</v>
      </c>
      <c r="M276" s="82" t="s">
        <v>294</v>
      </c>
    </row>
    <row r="277" spans="1:26" ht="13.8" thickBot="1" x14ac:dyDescent="0.3">
      <c r="B277" s="79"/>
      <c r="C277" s="80" t="s">
        <v>569</v>
      </c>
      <c r="D277" s="79"/>
      <c r="E277" s="79"/>
      <c r="F277" s="91">
        <v>20</v>
      </c>
      <c r="G277" s="82" t="s">
        <v>293</v>
      </c>
      <c r="H277" s="90">
        <f t="shared" si="24"/>
        <v>14.5</v>
      </c>
      <c r="I277" s="82" t="s">
        <v>294</v>
      </c>
      <c r="J277" s="92">
        <v>40</v>
      </c>
      <c r="K277" s="82" t="s">
        <v>293</v>
      </c>
      <c r="L277" s="90">
        <f t="shared" si="25"/>
        <v>14.5</v>
      </c>
      <c r="M277" s="82" t="s">
        <v>294</v>
      </c>
    </row>
    <row r="278" spans="1:26" ht="13.8" thickBot="1" x14ac:dyDescent="0.3">
      <c r="B278" s="79"/>
      <c r="C278" s="80" t="s">
        <v>303</v>
      </c>
      <c r="D278" s="79"/>
      <c r="E278" s="79"/>
      <c r="F278" s="91"/>
      <c r="G278" s="82" t="s">
        <v>293</v>
      </c>
      <c r="H278" s="90">
        <f t="shared" si="24"/>
        <v>14.5</v>
      </c>
      <c r="I278" s="82" t="s">
        <v>294</v>
      </c>
      <c r="J278" s="92"/>
      <c r="K278" s="82" t="s">
        <v>293</v>
      </c>
      <c r="L278" s="90">
        <f t="shared" si="25"/>
        <v>14.5</v>
      </c>
      <c r="M278" s="82" t="s">
        <v>294</v>
      </c>
    </row>
    <row r="279" spans="1:26" ht="13.8" thickBot="1" x14ac:dyDescent="0.3">
      <c r="B279" s="79"/>
      <c r="C279" s="80" t="s">
        <v>778</v>
      </c>
      <c r="D279" s="79"/>
      <c r="E279" s="79"/>
      <c r="F279" s="91">
        <v>10</v>
      </c>
      <c r="G279" s="82" t="s">
        <v>293</v>
      </c>
      <c r="H279" s="90">
        <f t="shared" si="24"/>
        <v>14.5</v>
      </c>
      <c r="I279" s="82" t="s">
        <v>294</v>
      </c>
      <c r="J279" s="92"/>
      <c r="K279" s="82" t="s">
        <v>293</v>
      </c>
      <c r="L279" s="90">
        <f t="shared" si="25"/>
        <v>14.5</v>
      </c>
      <c r="M279" s="82" t="s">
        <v>294</v>
      </c>
    </row>
    <row r="280" spans="1:26" ht="13.8" thickBot="1" x14ac:dyDescent="0.3">
      <c r="B280" s="79"/>
      <c r="C280" s="80" t="s">
        <v>503</v>
      </c>
      <c r="D280" s="79"/>
      <c r="E280" s="79"/>
      <c r="F280" s="92">
        <v>20</v>
      </c>
      <c r="G280" s="82" t="s">
        <v>293</v>
      </c>
      <c r="H280" s="90">
        <f t="shared" si="24"/>
        <v>14.5</v>
      </c>
      <c r="I280" s="82" t="s">
        <v>294</v>
      </c>
      <c r="J280" s="92"/>
      <c r="K280" s="82" t="s">
        <v>293</v>
      </c>
      <c r="L280" s="90">
        <f t="shared" si="25"/>
        <v>14.5</v>
      </c>
      <c r="M280" s="82" t="s">
        <v>294</v>
      </c>
    </row>
    <row r="281" spans="1:26" ht="13.8" thickBot="1" x14ac:dyDescent="0.3">
      <c r="B281" s="79"/>
      <c r="C281" s="80" t="s">
        <v>38</v>
      </c>
      <c r="D281" s="79"/>
      <c r="E281" s="79"/>
      <c r="F281" s="91"/>
      <c r="G281" s="82" t="s">
        <v>212</v>
      </c>
      <c r="H281" s="91"/>
      <c r="I281" s="82" t="s">
        <v>206</v>
      </c>
      <c r="J281" s="91"/>
      <c r="K281" s="82" t="s">
        <v>212</v>
      </c>
      <c r="L281" s="91">
        <v>4.5</v>
      </c>
      <c r="M281" s="82" t="s">
        <v>206</v>
      </c>
    </row>
    <row r="282" spans="1:26" ht="13.8" thickBot="1" x14ac:dyDescent="0.3">
      <c r="B282" s="79"/>
      <c r="C282" s="80" t="s">
        <v>38</v>
      </c>
      <c r="D282" s="79"/>
      <c r="E282" s="79"/>
      <c r="F282" s="91">
        <v>10</v>
      </c>
      <c r="G282" s="82" t="s">
        <v>293</v>
      </c>
      <c r="H282" s="90">
        <f t="shared" ref="H282" si="26">$H$166</f>
        <v>14.5</v>
      </c>
      <c r="I282" s="82" t="s">
        <v>294</v>
      </c>
      <c r="J282" s="92"/>
      <c r="K282" s="82" t="s">
        <v>293</v>
      </c>
      <c r="L282" s="90">
        <f t="shared" ref="L282" si="27">$L$166</f>
        <v>14.5</v>
      </c>
      <c r="M282" s="82" t="s">
        <v>294</v>
      </c>
    </row>
    <row r="283" spans="1:26" ht="13.8" thickBot="1" x14ac:dyDescent="0.3">
      <c r="B283" s="79"/>
      <c r="C283" s="80" t="s">
        <v>431</v>
      </c>
      <c r="D283" s="79"/>
      <c r="E283" s="79"/>
      <c r="F283" s="92"/>
      <c r="G283" s="82" t="s">
        <v>293</v>
      </c>
      <c r="H283" s="90">
        <f t="shared" si="24"/>
        <v>14.5</v>
      </c>
      <c r="I283" s="82" t="s">
        <v>294</v>
      </c>
      <c r="J283" s="75"/>
      <c r="K283" s="82" t="s">
        <v>293</v>
      </c>
      <c r="L283" s="90">
        <f t="shared" si="25"/>
        <v>14.5</v>
      </c>
      <c r="M283" s="82" t="s">
        <v>294</v>
      </c>
    </row>
    <row r="284" spans="1:26" ht="13.8" thickBot="1" x14ac:dyDescent="0.3">
      <c r="B284" s="79"/>
      <c r="C284" s="80" t="s">
        <v>431</v>
      </c>
      <c r="D284" s="79"/>
      <c r="E284" s="79"/>
      <c r="F284" s="92"/>
      <c r="G284" s="82" t="s">
        <v>293</v>
      </c>
      <c r="H284" s="90">
        <f t="shared" si="24"/>
        <v>14.5</v>
      </c>
      <c r="I284" s="82" t="s">
        <v>294</v>
      </c>
      <c r="J284" s="75"/>
      <c r="K284" s="82" t="s">
        <v>293</v>
      </c>
      <c r="L284" s="90">
        <f t="shared" si="25"/>
        <v>14.5</v>
      </c>
      <c r="M284" s="82" t="s">
        <v>294</v>
      </c>
    </row>
    <row r="285" spans="1:26" ht="13.8" thickBot="1" x14ac:dyDescent="0.3">
      <c r="B285" s="79"/>
      <c r="C285" s="80" t="s">
        <v>431</v>
      </c>
      <c r="D285" s="81"/>
      <c r="E285" s="81"/>
      <c r="F285" s="75"/>
      <c r="G285" s="82" t="s">
        <v>293</v>
      </c>
      <c r="H285" s="90">
        <f t="shared" si="24"/>
        <v>14.5</v>
      </c>
      <c r="I285" s="82" t="s">
        <v>294</v>
      </c>
      <c r="J285" s="75"/>
      <c r="K285" s="82" t="s">
        <v>293</v>
      </c>
      <c r="L285" s="90">
        <f t="shared" si="25"/>
        <v>14.5</v>
      </c>
      <c r="M285" s="82" t="s">
        <v>294</v>
      </c>
    </row>
    <row r="286" spans="1:26" s="5" customFormat="1" x14ac:dyDescent="0.25">
      <c r="A286" s="356"/>
      <c r="B286" s="209"/>
      <c r="C286" s="210" t="s">
        <v>54</v>
      </c>
      <c r="D286" s="211"/>
      <c r="E286" s="211"/>
      <c r="F286" s="212">
        <f>SUM(F274:F280)+SUM(F282:F285)</f>
        <v>68</v>
      </c>
      <c r="G286" s="209" t="s">
        <v>293</v>
      </c>
      <c r="H286" s="213">
        <f>F286*H166+F281*H281</f>
        <v>986</v>
      </c>
      <c r="I286" s="209" t="s">
        <v>57</v>
      </c>
      <c r="J286" s="212">
        <f>SUM(J274:J280)+SUM(J282:J285)</f>
        <v>40</v>
      </c>
      <c r="K286" s="209" t="s">
        <v>293</v>
      </c>
      <c r="L286" s="213">
        <f>J286*L166+J281*L281</f>
        <v>580</v>
      </c>
      <c r="M286" s="209" t="s">
        <v>57</v>
      </c>
      <c r="N286"/>
      <c r="O286"/>
      <c r="P286"/>
      <c r="Q286"/>
      <c r="R286"/>
      <c r="S286"/>
      <c r="T286"/>
      <c r="U286"/>
      <c r="Y286"/>
      <c r="Z286"/>
    </row>
    <row r="287" spans="1:26" s="5" customFormat="1" ht="70.95" customHeight="1" thickBot="1" x14ac:dyDescent="0.3">
      <c r="A287" s="356"/>
      <c r="B287" s="436"/>
      <c r="C287" s="440"/>
      <c r="D287" s="441"/>
      <c r="E287" s="441"/>
      <c r="F287" s="442"/>
      <c r="G287" s="436"/>
      <c r="H287" s="443"/>
      <c r="I287" s="436"/>
      <c r="J287" s="442"/>
      <c r="K287" s="436"/>
      <c r="L287" s="443"/>
      <c r="M287" s="436"/>
    </row>
    <row r="288" spans="1:26" ht="21" customHeight="1" thickBot="1" x14ac:dyDescent="0.45">
      <c r="B288" s="1078" t="s">
        <v>389</v>
      </c>
      <c r="C288" s="1079"/>
      <c r="D288" s="1079"/>
      <c r="E288" s="1080"/>
      <c r="F288" s="116"/>
      <c r="G288" s="116"/>
      <c r="H288" s="116"/>
      <c r="I288" s="116"/>
      <c r="J288" s="460" t="s">
        <v>241</v>
      </c>
      <c r="K288" s="460"/>
      <c r="L288" s="116"/>
      <c r="M288" s="116"/>
      <c r="N288" s="462"/>
      <c r="O288" s="5"/>
      <c r="P288" s="5"/>
      <c r="Q288" s="5"/>
      <c r="R288" s="5"/>
      <c r="S288" s="5"/>
      <c r="T288" s="5"/>
      <c r="U288" s="5"/>
      <c r="Y288" s="5"/>
      <c r="Z288" s="5"/>
    </row>
    <row r="289" spans="1:26" x14ac:dyDescent="0.25">
      <c r="B289" s="116"/>
      <c r="C289" s="116"/>
      <c r="D289" s="116"/>
      <c r="E289" s="116"/>
      <c r="F289" s="116"/>
      <c r="G289" s="116"/>
      <c r="H289" s="116"/>
      <c r="I289" s="116"/>
      <c r="J289" s="116"/>
      <c r="K289" s="116"/>
      <c r="L289" s="116"/>
      <c r="M289" s="116"/>
    </row>
    <row r="290" spans="1:26" ht="15.6" x14ac:dyDescent="0.3">
      <c r="B290" s="96" t="s">
        <v>682</v>
      </c>
      <c r="C290" s="97"/>
      <c r="D290" s="97"/>
      <c r="E290" s="97"/>
      <c r="F290" s="1074" t="s">
        <v>114</v>
      </c>
      <c r="G290" s="1074"/>
      <c r="H290" s="1074" t="s">
        <v>113</v>
      </c>
      <c r="I290" s="1074"/>
      <c r="J290" s="1074" t="s">
        <v>243</v>
      </c>
      <c r="K290" s="1074"/>
      <c r="L290" s="99"/>
      <c r="M290" s="99"/>
    </row>
    <row r="291" spans="1:26" ht="13.8" thickBot="1" x14ac:dyDescent="0.3">
      <c r="B291" s="97"/>
      <c r="C291" s="97"/>
      <c r="D291" s="97"/>
      <c r="E291" s="97"/>
      <c r="F291" s="97"/>
      <c r="G291" s="97"/>
      <c r="H291" s="98"/>
      <c r="I291" s="98"/>
      <c r="J291" s="99"/>
      <c r="K291" s="99"/>
      <c r="L291" s="99"/>
      <c r="M291" s="99"/>
    </row>
    <row r="292" spans="1:26" ht="13.8" thickBot="1" x14ac:dyDescent="0.3">
      <c r="B292" s="97"/>
      <c r="C292" s="97" t="s">
        <v>683</v>
      </c>
      <c r="D292" s="99"/>
      <c r="E292" s="97"/>
      <c r="F292" s="94">
        <v>230</v>
      </c>
      <c r="G292" s="97" t="s">
        <v>212</v>
      </c>
      <c r="H292" s="77">
        <v>1.53</v>
      </c>
      <c r="I292" s="98" t="s">
        <v>206</v>
      </c>
      <c r="J292" s="100">
        <f>F292*H292</f>
        <v>351.90000000000003</v>
      </c>
      <c r="K292" s="97" t="s">
        <v>57</v>
      </c>
      <c r="L292" s="99"/>
      <c r="M292" s="99"/>
    </row>
    <row r="293" spans="1:26" ht="13.8" thickBot="1" x14ac:dyDescent="0.3">
      <c r="B293" s="97"/>
      <c r="C293" s="97" t="s">
        <v>251</v>
      </c>
      <c r="D293" s="99"/>
      <c r="E293" s="97"/>
      <c r="F293" s="94"/>
      <c r="G293" s="97" t="s">
        <v>212</v>
      </c>
      <c r="H293" s="77"/>
      <c r="I293" s="98" t="s">
        <v>206</v>
      </c>
      <c r="J293" s="100">
        <f t="shared" ref="J293:J295" si="28">F293*H293</f>
        <v>0</v>
      </c>
      <c r="K293" s="97" t="s">
        <v>57</v>
      </c>
      <c r="L293" s="99"/>
      <c r="M293" s="99"/>
    </row>
    <row r="294" spans="1:26" ht="13.8" thickBot="1" x14ac:dyDescent="0.3">
      <c r="B294" s="97"/>
      <c r="C294" s="97" t="s">
        <v>251</v>
      </c>
      <c r="D294" s="99"/>
      <c r="E294" s="97"/>
      <c r="F294" s="74"/>
      <c r="G294" s="97" t="s">
        <v>212</v>
      </c>
      <c r="H294" s="77"/>
      <c r="I294" s="98" t="s">
        <v>206</v>
      </c>
      <c r="J294" s="100">
        <f t="shared" si="28"/>
        <v>0</v>
      </c>
      <c r="K294" s="97" t="s">
        <v>57</v>
      </c>
      <c r="L294" s="99"/>
      <c r="M294" s="99"/>
    </row>
    <row r="295" spans="1:26" ht="13.8" thickBot="1" x14ac:dyDescent="0.3">
      <c r="B295" s="97"/>
      <c r="C295" s="97" t="s">
        <v>251</v>
      </c>
      <c r="D295" s="99"/>
      <c r="E295" s="97"/>
      <c r="F295" s="74"/>
      <c r="G295" s="97" t="s">
        <v>212</v>
      </c>
      <c r="H295" s="77"/>
      <c r="I295" s="98" t="s">
        <v>206</v>
      </c>
      <c r="J295" s="100">
        <f t="shared" si="28"/>
        <v>0</v>
      </c>
      <c r="K295" s="97" t="s">
        <v>57</v>
      </c>
      <c r="L295" s="99"/>
      <c r="M295" s="99"/>
    </row>
    <row r="296" spans="1:26" s="5" customFormat="1" x14ac:dyDescent="0.25">
      <c r="A296" s="356"/>
      <c r="B296" s="214"/>
      <c r="C296" s="214" t="s">
        <v>54</v>
      </c>
      <c r="D296" s="214"/>
      <c r="E296" s="214"/>
      <c r="F296" s="214"/>
      <c r="G296" s="214"/>
      <c r="H296" s="214"/>
      <c r="I296" s="215"/>
      <c r="J296" s="216">
        <f>SUM(J292:J295)</f>
        <v>351.90000000000003</v>
      </c>
      <c r="K296" s="214" t="s">
        <v>57</v>
      </c>
      <c r="L296" s="214"/>
      <c r="M296" s="214"/>
      <c r="N296"/>
      <c r="O296"/>
      <c r="P296"/>
      <c r="Q296"/>
      <c r="R296"/>
      <c r="S296"/>
      <c r="T296"/>
      <c r="U296"/>
      <c r="Y296"/>
      <c r="Z296"/>
    </row>
    <row r="297" spans="1:26" x14ac:dyDescent="0.25">
      <c r="B297" s="97"/>
      <c r="C297" s="97"/>
      <c r="D297" s="97"/>
      <c r="E297" s="97"/>
      <c r="F297" s="97"/>
      <c r="G297" s="97"/>
      <c r="H297" s="97"/>
      <c r="I297" s="98"/>
      <c r="J297" s="100"/>
      <c r="K297" s="97"/>
      <c r="L297" s="99"/>
      <c r="M297" s="99"/>
      <c r="N297" s="5"/>
      <c r="O297" s="5"/>
      <c r="P297" s="5"/>
      <c r="Q297" s="5"/>
      <c r="R297" s="5"/>
      <c r="S297" s="5"/>
      <c r="T297" s="5"/>
      <c r="U297" s="5"/>
      <c r="Y297" s="5"/>
      <c r="Z297" s="5"/>
    </row>
    <row r="298" spans="1:26" ht="39" customHeight="1" x14ac:dyDescent="0.25"/>
    <row r="299" spans="1:26" ht="15.6" x14ac:dyDescent="0.3">
      <c r="B299" s="85" t="s">
        <v>613</v>
      </c>
      <c r="C299" s="51"/>
      <c r="D299" s="51"/>
      <c r="E299" s="51"/>
      <c r="F299" s="1075" t="s">
        <v>114</v>
      </c>
      <c r="G299" s="1075"/>
      <c r="H299" s="1076" t="s">
        <v>113</v>
      </c>
      <c r="I299" s="1076"/>
      <c r="J299" s="1075" t="s">
        <v>243</v>
      </c>
      <c r="K299" s="1075"/>
      <c r="L299" s="58"/>
      <c r="M299" s="58"/>
    </row>
    <row r="300" spans="1:26" ht="15.6" x14ac:dyDescent="0.3">
      <c r="B300" s="85"/>
      <c r="C300" s="51"/>
      <c r="D300" s="387" t="s">
        <v>253</v>
      </c>
      <c r="E300" s="51"/>
      <c r="F300" s="59"/>
      <c r="G300" s="59"/>
      <c r="H300" s="60"/>
      <c r="I300" s="60"/>
      <c r="J300" s="59"/>
      <c r="K300" s="59"/>
      <c r="L300" s="58"/>
      <c r="M300" s="58"/>
    </row>
    <row r="301" spans="1:26" ht="13.8" thickBot="1" x14ac:dyDescent="0.3">
      <c r="B301" s="171" t="s">
        <v>254</v>
      </c>
      <c r="C301" s="51"/>
      <c r="D301" s="51"/>
      <c r="E301" s="51"/>
      <c r="F301" s="53"/>
      <c r="G301" s="53"/>
      <c r="H301" s="52"/>
      <c r="I301" s="52"/>
      <c r="J301" s="58"/>
      <c r="K301" s="58"/>
      <c r="L301" s="58"/>
      <c r="M301" s="58"/>
    </row>
    <row r="302" spans="1:26" ht="13.8" thickBot="1" x14ac:dyDescent="0.3">
      <c r="B302" s="51"/>
      <c r="C302" s="51" t="s">
        <v>267</v>
      </c>
      <c r="D302" s="58"/>
      <c r="E302" s="51"/>
      <c r="F302" s="95"/>
      <c r="G302" s="53" t="s">
        <v>256</v>
      </c>
      <c r="H302" s="77"/>
      <c r="I302" s="52" t="s">
        <v>257</v>
      </c>
      <c r="J302" s="58">
        <f>F302*H302</f>
        <v>0</v>
      </c>
      <c r="K302" s="51" t="s">
        <v>57</v>
      </c>
      <c r="L302" s="58"/>
      <c r="M302" s="58"/>
    </row>
    <row r="303" spans="1:26" ht="13.8" thickBot="1" x14ac:dyDescent="0.3">
      <c r="B303" s="51"/>
      <c r="C303" s="51" t="s">
        <v>267</v>
      </c>
      <c r="D303" s="51"/>
      <c r="E303" s="51"/>
      <c r="F303" s="95"/>
      <c r="G303" s="53" t="s">
        <v>256</v>
      </c>
      <c r="H303" s="77"/>
      <c r="I303" s="52" t="s">
        <v>257</v>
      </c>
      <c r="J303" s="58">
        <f t="shared" ref="J303:J309" si="29">F303*H303</f>
        <v>0</v>
      </c>
      <c r="K303" s="51" t="s">
        <v>57</v>
      </c>
      <c r="L303" s="58"/>
      <c r="M303" s="58"/>
    </row>
    <row r="304" spans="1:26" ht="13.8" thickBot="1" x14ac:dyDescent="0.3">
      <c r="B304" s="51"/>
      <c r="C304" s="51" t="s">
        <v>267</v>
      </c>
      <c r="D304" s="51"/>
      <c r="E304" s="51"/>
      <c r="F304" s="95"/>
      <c r="G304" s="53" t="s">
        <v>256</v>
      </c>
      <c r="H304" s="77"/>
      <c r="I304" s="52" t="s">
        <v>257</v>
      </c>
      <c r="J304" s="58">
        <f t="shared" si="29"/>
        <v>0</v>
      </c>
      <c r="K304" s="51" t="s">
        <v>57</v>
      </c>
      <c r="L304" s="58"/>
      <c r="M304" s="58"/>
    </row>
    <row r="305" spans="1:26" x14ac:dyDescent="0.25">
      <c r="B305" s="51"/>
      <c r="C305" s="51"/>
      <c r="D305" s="51"/>
      <c r="E305" s="51"/>
      <c r="F305" s="53"/>
      <c r="G305" s="53"/>
      <c r="H305" s="52"/>
      <c r="I305" s="52"/>
      <c r="J305" s="58"/>
      <c r="K305" s="51"/>
      <c r="L305" s="58"/>
      <c r="M305" s="58"/>
    </row>
    <row r="306" spans="1:26" ht="13.8" thickBot="1" x14ac:dyDescent="0.3">
      <c r="B306" s="171" t="s">
        <v>266</v>
      </c>
      <c r="C306" s="51"/>
      <c r="D306" s="51"/>
      <c r="E306" s="51"/>
      <c r="F306" s="53"/>
      <c r="G306" s="53"/>
      <c r="H306" s="52"/>
      <c r="I306" s="52"/>
      <c r="J306" s="58"/>
      <c r="K306" s="51"/>
      <c r="L306" s="58"/>
      <c r="M306" s="58"/>
    </row>
    <row r="307" spans="1:26" ht="13.8" thickBot="1" x14ac:dyDescent="0.3">
      <c r="B307" s="51"/>
      <c r="C307" s="51" t="s">
        <v>267</v>
      </c>
      <c r="D307" s="51"/>
      <c r="E307" s="51"/>
      <c r="F307" s="95"/>
      <c r="G307" s="53"/>
      <c r="H307" s="95"/>
      <c r="I307" s="52"/>
      <c r="J307" s="58">
        <f t="shared" si="29"/>
        <v>0</v>
      </c>
      <c r="K307" s="51" t="s">
        <v>57</v>
      </c>
      <c r="L307" s="58"/>
      <c r="M307" s="58"/>
    </row>
    <row r="308" spans="1:26" ht="13.8" thickBot="1" x14ac:dyDescent="0.3">
      <c r="B308" s="51"/>
      <c r="C308" s="51" t="s">
        <v>267</v>
      </c>
      <c r="D308" s="51"/>
      <c r="E308" s="51"/>
      <c r="F308" s="95"/>
      <c r="G308" s="53"/>
      <c r="H308" s="95"/>
      <c r="I308" s="52"/>
      <c r="J308" s="58">
        <f t="shared" si="29"/>
        <v>0</v>
      </c>
      <c r="K308" s="51" t="s">
        <v>57</v>
      </c>
      <c r="L308" s="58"/>
      <c r="M308" s="58"/>
    </row>
    <row r="309" spans="1:26" ht="13.8" thickBot="1" x14ac:dyDescent="0.3">
      <c r="B309" s="51"/>
      <c r="C309" s="51" t="s">
        <v>267</v>
      </c>
      <c r="D309" s="51"/>
      <c r="E309" s="51"/>
      <c r="F309" s="95"/>
      <c r="G309" s="53"/>
      <c r="H309" s="95"/>
      <c r="I309" s="52"/>
      <c r="J309" s="58">
        <f t="shared" si="29"/>
        <v>0</v>
      </c>
      <c r="K309" s="51" t="s">
        <v>57</v>
      </c>
      <c r="L309" s="58"/>
      <c r="M309" s="58"/>
    </row>
    <row r="310" spans="1:26" s="5" customFormat="1" x14ac:dyDescent="0.25">
      <c r="A310" s="356"/>
      <c r="B310" s="195"/>
      <c r="C310" s="195" t="s">
        <v>54</v>
      </c>
      <c r="D310" s="195"/>
      <c r="E310" s="195"/>
      <c r="F310" s="196"/>
      <c r="G310" s="196"/>
      <c r="H310" s="196"/>
      <c r="I310" s="197"/>
      <c r="J310" s="195">
        <f>SUM(J302:J309)</f>
        <v>0</v>
      </c>
      <c r="K310" s="195" t="s">
        <v>57</v>
      </c>
      <c r="L310" s="195"/>
      <c r="M310" s="195"/>
      <c r="N310"/>
      <c r="O310"/>
      <c r="P310"/>
      <c r="Q310"/>
      <c r="R310"/>
      <c r="S310"/>
      <c r="T310"/>
      <c r="U310"/>
      <c r="Y310"/>
      <c r="Z310"/>
    </row>
    <row r="311" spans="1:26" x14ac:dyDescent="0.25">
      <c r="B311" s="51"/>
      <c r="C311" s="51"/>
      <c r="D311" s="51"/>
      <c r="E311" s="51"/>
      <c r="F311" s="53"/>
      <c r="G311" s="53"/>
      <c r="H311" s="52"/>
      <c r="I311" s="52"/>
      <c r="J311" s="58"/>
      <c r="K311" s="51"/>
      <c r="L311" s="58"/>
      <c r="M311" s="58"/>
      <c r="N311" s="5"/>
      <c r="O311" s="5"/>
      <c r="P311" s="5"/>
      <c r="Q311" s="5"/>
      <c r="R311" s="5"/>
      <c r="S311" s="5"/>
      <c r="T311" s="5"/>
      <c r="U311" s="5"/>
      <c r="Y311" s="5"/>
      <c r="Z311" s="5"/>
    </row>
    <row r="312" spans="1:26" ht="36" customHeight="1" x14ac:dyDescent="0.25">
      <c r="B312" s="435"/>
      <c r="C312" s="435"/>
      <c r="D312" s="435"/>
      <c r="E312" s="435"/>
      <c r="F312" s="439"/>
      <c r="G312" s="439"/>
      <c r="H312" s="437"/>
      <c r="I312" s="437"/>
      <c r="J312" s="116"/>
      <c r="K312" s="435"/>
      <c r="L312" s="116"/>
      <c r="M312" s="116"/>
    </row>
    <row r="313" spans="1:26" ht="30" customHeight="1" x14ac:dyDescent="0.3">
      <c r="B313" s="535" t="s">
        <v>620</v>
      </c>
      <c r="C313" s="536"/>
      <c r="D313" s="527"/>
      <c r="E313" s="527"/>
      <c r="F313" s="1125" t="s">
        <v>114</v>
      </c>
      <c r="G313" s="1125"/>
      <c r="H313" s="1125" t="s">
        <v>113</v>
      </c>
      <c r="I313" s="1125"/>
      <c r="J313" s="1125" t="s">
        <v>243</v>
      </c>
      <c r="K313" s="1125"/>
      <c r="L313" s="101"/>
      <c r="M313" s="101"/>
    </row>
    <row r="314" spans="1:26" ht="13.8" thickBot="1" x14ac:dyDescent="0.3">
      <c r="B314" s="536"/>
      <c r="C314" s="536"/>
      <c r="D314" s="527"/>
      <c r="E314" s="527"/>
      <c r="F314" s="527"/>
      <c r="G314" s="527"/>
      <c r="H314" s="528"/>
      <c r="I314" s="528"/>
      <c r="J314" s="101"/>
      <c r="K314" s="101"/>
      <c r="L314" s="101"/>
      <c r="M314" s="101"/>
    </row>
    <row r="315" spans="1:26" ht="13.8" thickBot="1" x14ac:dyDescent="0.3">
      <c r="B315" s="536"/>
      <c r="C315" s="536" t="s">
        <v>621</v>
      </c>
      <c r="D315" s="101"/>
      <c r="E315" s="527"/>
      <c r="F315" s="529">
        <v>5</v>
      </c>
      <c r="G315" s="527" t="s">
        <v>622</v>
      </c>
      <c r="H315" s="530">
        <v>160</v>
      </c>
      <c r="I315" s="528" t="s">
        <v>623</v>
      </c>
      <c r="J315" s="531">
        <f t="shared" ref="J315:J317" si="30">F315*H315</f>
        <v>800</v>
      </c>
      <c r="K315" s="527" t="s">
        <v>57</v>
      </c>
      <c r="L315" s="101"/>
      <c r="M315" s="101"/>
    </row>
    <row r="316" spans="1:26" ht="13.8" thickBot="1" x14ac:dyDescent="0.3">
      <c r="B316" s="536"/>
      <c r="C316" s="536" t="s">
        <v>274</v>
      </c>
      <c r="D316" s="527"/>
      <c r="E316" s="527"/>
      <c r="F316" s="529"/>
      <c r="G316" s="527" t="s">
        <v>7</v>
      </c>
      <c r="H316" s="530"/>
      <c r="I316" s="528" t="s">
        <v>57</v>
      </c>
      <c r="J316" s="531">
        <f t="shared" si="30"/>
        <v>0</v>
      </c>
      <c r="K316" s="527" t="s">
        <v>57</v>
      </c>
      <c r="L316" s="101"/>
      <c r="M316" s="101"/>
    </row>
    <row r="317" spans="1:26" ht="13.8" thickBot="1" x14ac:dyDescent="0.3">
      <c r="B317" s="536"/>
      <c r="C317" s="536" t="s">
        <v>274</v>
      </c>
      <c r="D317" s="527"/>
      <c r="E317" s="527"/>
      <c r="F317" s="529"/>
      <c r="G317" s="527" t="s">
        <v>7</v>
      </c>
      <c r="H317" s="530"/>
      <c r="I317" s="528" t="s">
        <v>57</v>
      </c>
      <c r="J317" s="531">
        <f t="shared" si="30"/>
        <v>0</v>
      </c>
      <c r="K317" s="527" t="s">
        <v>57</v>
      </c>
      <c r="L317" s="101"/>
      <c r="M317" s="101"/>
    </row>
    <row r="318" spans="1:26" x14ac:dyDescent="0.25">
      <c r="B318" s="543"/>
      <c r="C318" s="543" t="s">
        <v>54</v>
      </c>
      <c r="D318" s="305"/>
      <c r="E318" s="305"/>
      <c r="F318" s="305"/>
      <c r="G318" s="305"/>
      <c r="H318" s="532"/>
      <c r="I318" s="532"/>
      <c r="J318" s="533">
        <f>SUM(J315:J317)</f>
        <v>800</v>
      </c>
      <c r="K318" s="305" t="s">
        <v>57</v>
      </c>
      <c r="L318" s="305"/>
      <c r="M318" s="305"/>
    </row>
    <row r="319" spans="1:26" x14ac:dyDescent="0.25">
      <c r="B319" s="527"/>
      <c r="C319" s="527"/>
      <c r="D319" s="527"/>
      <c r="E319" s="527"/>
      <c r="F319" s="527"/>
      <c r="G319" s="527"/>
      <c r="H319" s="528"/>
      <c r="I319" s="528"/>
      <c r="J319" s="531"/>
      <c r="K319" s="527"/>
      <c r="L319" s="101"/>
      <c r="M319" s="101"/>
    </row>
    <row r="320" spans="1:26" ht="30" customHeight="1" x14ac:dyDescent="0.25">
      <c r="B320" s="435"/>
      <c r="C320" s="435"/>
      <c r="D320" s="435"/>
      <c r="E320" s="435"/>
      <c r="F320" s="439"/>
      <c r="G320" s="439"/>
      <c r="H320" s="437"/>
      <c r="I320" s="437"/>
      <c r="J320" s="116"/>
      <c r="K320" s="435"/>
      <c r="L320" s="116"/>
      <c r="M320" s="116"/>
    </row>
    <row r="321" spans="1:26" ht="40.950000000000003" customHeight="1" x14ac:dyDescent="0.3">
      <c r="A321" s="361"/>
      <c r="B321" s="86" t="s">
        <v>624</v>
      </c>
      <c r="C321" s="61"/>
      <c r="D321" s="61"/>
      <c r="E321" s="61"/>
      <c r="F321" s="1071" t="s">
        <v>114</v>
      </c>
      <c r="G321" s="1071"/>
      <c r="H321" s="1071" t="s">
        <v>113</v>
      </c>
      <c r="I321" s="1071"/>
      <c r="J321" s="1071" t="s">
        <v>243</v>
      </c>
      <c r="K321" s="1071"/>
      <c r="L321" s="63"/>
      <c r="M321" s="63"/>
    </row>
    <row r="322" spans="1:26" ht="13.8" thickBot="1" x14ac:dyDescent="0.3">
      <c r="A322" s="361"/>
      <c r="B322" s="61"/>
      <c r="C322" s="61"/>
      <c r="D322" s="61"/>
      <c r="E322" s="61"/>
      <c r="F322" s="61"/>
      <c r="G322" s="61"/>
      <c r="H322" s="62"/>
      <c r="I322" s="62"/>
      <c r="J322" s="63"/>
      <c r="K322" s="63"/>
      <c r="L322" s="63"/>
      <c r="M322" s="63"/>
    </row>
    <row r="323" spans="1:26" ht="13.8" thickBot="1" x14ac:dyDescent="0.3">
      <c r="A323" s="361"/>
      <c r="B323" s="61"/>
      <c r="C323" s="61" t="s">
        <v>751</v>
      </c>
      <c r="D323" s="61"/>
      <c r="E323" s="61"/>
      <c r="F323" s="388">
        <f>IF(S10&gt;0,S10*'Gårdens info'!$G$33/1,0)</f>
        <v>900</v>
      </c>
      <c r="G323" s="61" t="s">
        <v>31</v>
      </c>
      <c r="H323" s="77"/>
      <c r="I323" s="62" t="s">
        <v>246</v>
      </c>
      <c r="J323" s="64">
        <f>F323*H323</f>
        <v>0</v>
      </c>
      <c r="K323" s="61" t="s">
        <v>57</v>
      </c>
      <c r="L323" s="63"/>
      <c r="M323" s="63"/>
    </row>
    <row r="324" spans="1:26" ht="13.8" thickBot="1" x14ac:dyDescent="0.3">
      <c r="A324" s="361"/>
      <c r="B324" s="61"/>
      <c r="C324" s="61" t="s">
        <v>626</v>
      </c>
      <c r="D324" s="63"/>
      <c r="E324" s="61"/>
      <c r="F324" s="388">
        <f>IF(S11&gt;0,S11*'Gårdens info'!$G$33/5,0)</f>
        <v>0</v>
      </c>
      <c r="G324" s="61" t="s">
        <v>31</v>
      </c>
      <c r="H324" s="77">
        <v>0.1</v>
      </c>
      <c r="I324" s="62" t="s">
        <v>246</v>
      </c>
      <c r="J324" s="64">
        <f>F324*H324</f>
        <v>0</v>
      </c>
      <c r="K324" s="61" t="s">
        <v>57</v>
      </c>
      <c r="L324" s="63"/>
      <c r="M324" s="63"/>
    </row>
    <row r="325" spans="1:26" ht="13.8" thickBot="1" x14ac:dyDescent="0.3">
      <c r="A325" s="361"/>
      <c r="B325" s="61"/>
      <c r="C325" s="61" t="s">
        <v>627</v>
      </c>
      <c r="D325" s="63"/>
      <c r="E325" s="61"/>
      <c r="F325" s="388">
        <f>IF(S12&gt;0,S12*'Gårdens info'!$G$33/3,0)</f>
        <v>1050</v>
      </c>
      <c r="G325" s="61" t="s">
        <v>31</v>
      </c>
      <c r="H325" s="77">
        <v>0.1</v>
      </c>
      <c r="I325" s="62" t="s">
        <v>246</v>
      </c>
      <c r="J325" s="64">
        <f t="shared" ref="J325:J330" si="31">F325*H325</f>
        <v>105</v>
      </c>
      <c r="K325" s="61" t="s">
        <v>57</v>
      </c>
      <c r="L325" s="63"/>
      <c r="M325" s="63"/>
    </row>
    <row r="326" spans="1:26" ht="13.8" thickBot="1" x14ac:dyDescent="0.3">
      <c r="A326" s="361"/>
      <c r="B326" s="61"/>
      <c r="C326" s="61" t="s">
        <v>628</v>
      </c>
      <c r="D326" s="63"/>
      <c r="E326" s="61"/>
      <c r="F326" s="388">
        <f>IF(S13&gt;0,S13*'Gårdens info'!$G$33/0.5,0)</f>
        <v>900</v>
      </c>
      <c r="G326" s="61" t="s">
        <v>31</v>
      </c>
      <c r="H326" s="77">
        <v>0.05</v>
      </c>
      <c r="I326" s="62" t="s">
        <v>246</v>
      </c>
      <c r="J326" s="64">
        <f t="shared" si="31"/>
        <v>45</v>
      </c>
      <c r="K326" s="61" t="s">
        <v>57</v>
      </c>
      <c r="L326" s="63"/>
      <c r="M326" s="63"/>
    </row>
    <row r="327" spans="1:26" ht="13.8" thickBot="1" x14ac:dyDescent="0.3">
      <c r="A327" s="361"/>
      <c r="B327" s="61"/>
      <c r="C327" s="61" t="s">
        <v>629</v>
      </c>
      <c r="D327" s="63"/>
      <c r="E327" s="61"/>
      <c r="F327" s="388">
        <f>IF(S14&gt;0,S14*'Gårdens info'!$G$33/0.25,0)</f>
        <v>0</v>
      </c>
      <c r="G327" s="61" t="s">
        <v>31</v>
      </c>
      <c r="H327" s="77">
        <v>0.04</v>
      </c>
      <c r="I327" s="62" t="s">
        <v>246</v>
      </c>
      <c r="J327" s="64">
        <f t="shared" si="31"/>
        <v>0</v>
      </c>
      <c r="K327" s="61" t="s">
        <v>57</v>
      </c>
      <c r="L327" s="63"/>
      <c r="M327" s="63"/>
    </row>
    <row r="328" spans="1:26" ht="13.8" thickBot="1" x14ac:dyDescent="0.3">
      <c r="A328" s="361"/>
      <c r="B328" s="61"/>
      <c r="C328" s="74" t="s">
        <v>216</v>
      </c>
      <c r="D328" s="74"/>
      <c r="E328" s="61" t="s">
        <v>212</v>
      </c>
      <c r="F328" s="388">
        <f>IF(S15&gt;0,S15*'Gårdens info'!$G$33/D328,0)</f>
        <v>0</v>
      </c>
      <c r="G328" s="61" t="s">
        <v>31</v>
      </c>
      <c r="H328" s="77"/>
      <c r="I328" s="62" t="s">
        <v>246</v>
      </c>
      <c r="J328" s="64">
        <f t="shared" si="31"/>
        <v>0</v>
      </c>
      <c r="K328" s="61" t="s">
        <v>57</v>
      </c>
      <c r="L328" s="63"/>
      <c r="M328" s="63"/>
    </row>
    <row r="329" spans="1:26" ht="13.8" thickBot="1" x14ac:dyDescent="0.3">
      <c r="A329" s="361"/>
      <c r="B329" s="61"/>
      <c r="C329" s="74" t="s">
        <v>216</v>
      </c>
      <c r="D329" s="74"/>
      <c r="E329" s="61" t="s">
        <v>212</v>
      </c>
      <c r="F329" s="388">
        <f>IF(S16&gt;0,S16*'Gårdens info'!$G$33/D329,0)</f>
        <v>0</v>
      </c>
      <c r="G329" s="61" t="s">
        <v>31</v>
      </c>
      <c r="H329" s="77"/>
      <c r="I329" s="62" t="s">
        <v>246</v>
      </c>
      <c r="J329" s="64">
        <f t="shared" ref="J329" si="32">F329*H329</f>
        <v>0</v>
      </c>
      <c r="K329" s="61" t="s">
        <v>57</v>
      </c>
      <c r="L329" s="63"/>
      <c r="M329" s="63"/>
    </row>
    <row r="330" spans="1:26" ht="13.8" thickBot="1" x14ac:dyDescent="0.3">
      <c r="B330" s="61"/>
      <c r="C330" s="74" t="s">
        <v>216</v>
      </c>
      <c r="D330" s="74"/>
      <c r="E330" s="61" t="s">
        <v>212</v>
      </c>
      <c r="F330" s="388">
        <f>IF(S17&gt;0,S17*'Gårdens info'!$G$33/D330,0)</f>
        <v>0</v>
      </c>
      <c r="G330" s="61" t="s">
        <v>31</v>
      </c>
      <c r="H330" s="77"/>
      <c r="I330" s="62" t="s">
        <v>246</v>
      </c>
      <c r="J330" s="64">
        <f t="shared" si="31"/>
        <v>0</v>
      </c>
      <c r="K330" s="61" t="s">
        <v>57</v>
      </c>
      <c r="L330" s="63"/>
      <c r="M330" s="63"/>
    </row>
    <row r="331" spans="1:26" x14ac:dyDescent="0.25">
      <c r="B331" s="198"/>
      <c r="C331" s="198" t="s">
        <v>54</v>
      </c>
      <c r="D331" s="198"/>
      <c r="E331" s="198"/>
      <c r="F331" s="198"/>
      <c r="G331" s="198"/>
      <c r="H331" s="199"/>
      <c r="I331" s="199"/>
      <c r="J331" s="200">
        <f>SUM(J324:J330)</f>
        <v>150</v>
      </c>
      <c r="K331" s="198" t="s">
        <v>57</v>
      </c>
      <c r="L331" s="198"/>
      <c r="M331" s="198"/>
    </row>
    <row r="332" spans="1:26" s="5" customFormat="1" x14ac:dyDescent="0.25">
      <c r="A332" s="356"/>
      <c r="B332" s="61"/>
      <c r="C332" s="61"/>
      <c r="D332" s="61"/>
      <c r="E332" s="61"/>
      <c r="F332" s="61"/>
      <c r="G332" s="61"/>
      <c r="H332" s="62"/>
      <c r="I332" s="62"/>
      <c r="J332" s="64"/>
      <c r="K332" s="61"/>
      <c r="L332" s="63"/>
      <c r="M332" s="63"/>
      <c r="N332"/>
      <c r="O332"/>
      <c r="P332"/>
      <c r="Q332"/>
      <c r="R332"/>
      <c r="S332"/>
      <c r="T332"/>
      <c r="U332"/>
      <c r="Y332"/>
      <c r="Z332"/>
    </row>
    <row r="333" spans="1:26" x14ac:dyDescent="0.25">
      <c r="B333" s="116"/>
      <c r="C333" s="116"/>
      <c r="D333" s="116"/>
      <c r="E333" s="116"/>
      <c r="F333" s="116"/>
      <c r="G333" s="116"/>
      <c r="H333" s="116"/>
      <c r="I333" s="116"/>
      <c r="J333" s="116"/>
      <c r="K333" s="116"/>
      <c r="L333" s="116"/>
      <c r="M333" s="116"/>
      <c r="N333" s="5"/>
      <c r="O333" s="5"/>
      <c r="P333" s="5"/>
      <c r="Q333" s="5"/>
      <c r="R333" s="5"/>
      <c r="S333" s="5"/>
      <c r="T333" s="5"/>
      <c r="U333" s="5"/>
      <c r="Y333" s="5"/>
      <c r="Z333" s="5"/>
    </row>
    <row r="334" spans="1:26" ht="30" customHeight="1" x14ac:dyDescent="0.3">
      <c r="B334" s="87" t="s">
        <v>779</v>
      </c>
      <c r="C334" s="65"/>
      <c r="D334" s="65"/>
      <c r="E334" s="65"/>
      <c r="F334" s="1072" t="s">
        <v>114</v>
      </c>
      <c r="G334" s="1072"/>
      <c r="H334" s="1072" t="s">
        <v>113</v>
      </c>
      <c r="I334" s="1072"/>
      <c r="J334" s="1072" t="s">
        <v>243</v>
      </c>
      <c r="K334" s="1072"/>
      <c r="L334" s="67"/>
      <c r="M334" s="67"/>
    </row>
    <row r="335" spans="1:26" ht="13.8" thickBot="1" x14ac:dyDescent="0.3">
      <c r="B335" s="65"/>
      <c r="C335" s="65"/>
      <c r="D335" s="65"/>
      <c r="E335" s="65"/>
      <c r="F335" s="65"/>
      <c r="G335" s="65"/>
      <c r="H335" s="66"/>
      <c r="I335" s="66"/>
      <c r="J335" s="67"/>
      <c r="K335" s="67"/>
      <c r="L335" s="67"/>
      <c r="M335" s="67"/>
    </row>
    <row r="336" spans="1:26" ht="13.8" thickBot="1" x14ac:dyDescent="0.3">
      <c r="B336" s="65"/>
      <c r="C336" s="65" t="s">
        <v>753</v>
      </c>
      <c r="D336" s="67"/>
      <c r="E336" s="65"/>
      <c r="F336" s="74">
        <f>'Gårdens info'!G33*'Gårdens info'!D33</f>
        <v>0</v>
      </c>
      <c r="G336" s="65" t="s">
        <v>212</v>
      </c>
      <c r="H336" s="77">
        <v>0.5</v>
      </c>
      <c r="I336" s="66" t="s">
        <v>206</v>
      </c>
      <c r="J336" s="68">
        <f t="shared" ref="J336:J338" si="33">F336*H336</f>
        <v>0</v>
      </c>
      <c r="K336" s="65" t="s">
        <v>57</v>
      </c>
      <c r="L336" s="67"/>
      <c r="M336" s="67"/>
    </row>
    <row r="337" spans="1:26" ht="13.8" thickBot="1" x14ac:dyDescent="0.3">
      <c r="B337" s="65"/>
      <c r="C337" s="65" t="s">
        <v>274</v>
      </c>
      <c r="D337" s="65"/>
      <c r="E337" s="65"/>
      <c r="F337" s="74"/>
      <c r="G337" s="65" t="s">
        <v>212</v>
      </c>
      <c r="H337" s="77"/>
      <c r="I337" s="66" t="s">
        <v>206</v>
      </c>
      <c r="J337" s="68">
        <f t="shared" si="33"/>
        <v>0</v>
      </c>
      <c r="K337" s="65" t="s">
        <v>57</v>
      </c>
      <c r="L337" s="67"/>
      <c r="M337" s="67"/>
    </row>
    <row r="338" spans="1:26" ht="13.8" thickBot="1" x14ac:dyDescent="0.3">
      <c r="B338" s="65"/>
      <c r="C338" s="65" t="s">
        <v>274</v>
      </c>
      <c r="D338" s="65"/>
      <c r="E338" s="65"/>
      <c r="F338" s="74"/>
      <c r="G338" s="65" t="s">
        <v>212</v>
      </c>
      <c r="H338" s="77"/>
      <c r="I338" s="66" t="s">
        <v>206</v>
      </c>
      <c r="J338" s="68">
        <f t="shared" si="33"/>
        <v>0</v>
      </c>
      <c r="K338" s="65" t="s">
        <v>57</v>
      </c>
      <c r="L338" s="67"/>
      <c r="M338" s="67"/>
    </row>
    <row r="339" spans="1:26" x14ac:dyDescent="0.25">
      <c r="B339" s="201"/>
      <c r="C339" s="201" t="s">
        <v>54</v>
      </c>
      <c r="D339" s="201"/>
      <c r="E339" s="201"/>
      <c r="F339" s="201"/>
      <c r="G339" s="201"/>
      <c r="H339" s="202"/>
      <c r="I339" s="202"/>
      <c r="J339" s="203">
        <f>SUM(J336:J338)</f>
        <v>0</v>
      </c>
      <c r="K339" s="201" t="s">
        <v>57</v>
      </c>
      <c r="L339" s="201"/>
      <c r="M339" s="201"/>
    </row>
    <row r="340" spans="1:26" s="5" customFormat="1" x14ac:dyDescent="0.25">
      <c r="A340" s="356"/>
      <c r="B340" s="65"/>
      <c r="C340" s="65"/>
      <c r="D340" s="65"/>
      <c r="E340" s="65"/>
      <c r="F340" s="65"/>
      <c r="G340" s="65"/>
      <c r="H340" s="66"/>
      <c r="I340" s="66"/>
      <c r="J340" s="68"/>
      <c r="K340" s="65"/>
      <c r="L340" s="67"/>
      <c r="M340" s="67"/>
      <c r="N340"/>
      <c r="O340"/>
      <c r="P340"/>
      <c r="Q340"/>
      <c r="R340"/>
      <c r="S340"/>
      <c r="T340"/>
      <c r="U340"/>
      <c r="Y340"/>
      <c r="Z340"/>
    </row>
    <row r="341" spans="1:26" x14ac:dyDescent="0.25">
      <c r="B341" s="116"/>
      <c r="C341" s="116"/>
      <c r="D341" s="116"/>
      <c r="E341" s="116"/>
      <c r="F341" s="116"/>
      <c r="G341" s="116"/>
      <c r="H341" s="116"/>
      <c r="I341" s="116"/>
      <c r="J341" s="116"/>
      <c r="K341" s="116"/>
      <c r="L341" s="116"/>
      <c r="M341" s="116"/>
      <c r="N341" s="5"/>
      <c r="O341" s="5"/>
      <c r="P341" s="5"/>
      <c r="Q341" s="5"/>
      <c r="R341" s="5"/>
      <c r="S341" s="5"/>
      <c r="T341" s="5"/>
      <c r="U341" s="5"/>
      <c r="Y341" s="5"/>
      <c r="Z341" s="5"/>
    </row>
    <row r="342" spans="1:26" ht="37.200000000000003" customHeight="1" x14ac:dyDescent="0.3">
      <c r="B342" s="176" t="s">
        <v>651</v>
      </c>
      <c r="C342" s="177"/>
      <c r="D342" s="177"/>
      <c r="E342" s="177"/>
      <c r="F342" s="1067" t="s">
        <v>114</v>
      </c>
      <c r="G342" s="1067"/>
      <c r="H342" s="1067" t="s">
        <v>113</v>
      </c>
      <c r="I342" s="1067"/>
      <c r="J342" s="1067" t="s">
        <v>243</v>
      </c>
      <c r="K342" s="1067"/>
      <c r="L342" s="179"/>
      <c r="M342" s="179"/>
    </row>
    <row r="343" spans="1:26" ht="13.8" thickBot="1" x14ac:dyDescent="0.3">
      <c r="B343" s="177"/>
      <c r="C343" s="177"/>
      <c r="D343" s="177"/>
      <c r="E343" s="177"/>
      <c r="F343" s="177"/>
      <c r="G343" s="177"/>
      <c r="H343" s="178"/>
      <c r="I343" s="178"/>
      <c r="J343" s="179"/>
      <c r="K343" s="179"/>
      <c r="L343" s="179"/>
      <c r="M343" s="179"/>
    </row>
    <row r="344" spans="1:26" ht="13.8" thickBot="1" x14ac:dyDescent="0.3">
      <c r="B344" s="177"/>
      <c r="C344" s="177" t="s">
        <v>276</v>
      </c>
      <c r="D344" s="179"/>
      <c r="E344" s="177"/>
      <c r="F344" s="74"/>
      <c r="G344" s="177" t="s">
        <v>7</v>
      </c>
      <c r="H344" s="77"/>
      <c r="I344" s="178" t="s">
        <v>57</v>
      </c>
      <c r="J344" s="180">
        <f t="shared" ref="J344:J346" si="34">F344*H344</f>
        <v>0</v>
      </c>
      <c r="K344" s="177" t="s">
        <v>57</v>
      </c>
      <c r="L344" s="179"/>
      <c r="M344" s="179"/>
    </row>
    <row r="345" spans="1:26" ht="13.8" thickBot="1" x14ac:dyDescent="0.3">
      <c r="B345" s="177"/>
      <c r="C345" s="177" t="s">
        <v>276</v>
      </c>
      <c r="D345" s="177"/>
      <c r="E345" s="177"/>
      <c r="F345" s="74"/>
      <c r="G345" s="177" t="s">
        <v>7</v>
      </c>
      <c r="H345" s="77"/>
      <c r="I345" s="178" t="s">
        <v>57</v>
      </c>
      <c r="J345" s="180">
        <f t="shared" si="34"/>
        <v>0</v>
      </c>
      <c r="K345" s="177" t="s">
        <v>57</v>
      </c>
      <c r="L345" s="179"/>
      <c r="M345" s="179"/>
    </row>
    <row r="346" spans="1:26" ht="13.8" thickBot="1" x14ac:dyDescent="0.3">
      <c r="B346" s="177"/>
      <c r="C346" s="177" t="s">
        <v>276</v>
      </c>
      <c r="D346" s="177"/>
      <c r="E346" s="177"/>
      <c r="F346" s="74"/>
      <c r="G346" s="177" t="s">
        <v>7</v>
      </c>
      <c r="H346" s="77"/>
      <c r="I346" s="178" t="s">
        <v>57</v>
      </c>
      <c r="J346" s="180">
        <f t="shared" si="34"/>
        <v>0</v>
      </c>
      <c r="K346" s="177" t="s">
        <v>57</v>
      </c>
      <c r="L346" s="179"/>
      <c r="M346" s="179"/>
    </row>
    <row r="347" spans="1:26" x14ac:dyDescent="0.25">
      <c r="B347" s="204"/>
      <c r="C347" s="204" t="s">
        <v>54</v>
      </c>
      <c r="D347" s="204"/>
      <c r="E347" s="204"/>
      <c r="F347" s="204"/>
      <c r="G347" s="204"/>
      <c r="H347" s="205"/>
      <c r="I347" s="205"/>
      <c r="J347" s="206">
        <f>SUM(J344:J346)</f>
        <v>0</v>
      </c>
      <c r="K347" s="204" t="s">
        <v>57</v>
      </c>
      <c r="L347" s="204"/>
      <c r="M347" s="204"/>
    </row>
    <row r="348" spans="1:26" s="5" customFormat="1" x14ac:dyDescent="0.25">
      <c r="A348" s="356"/>
      <c r="B348" s="177"/>
      <c r="C348" s="177"/>
      <c r="D348" s="177"/>
      <c r="E348" s="177"/>
      <c r="F348" s="177"/>
      <c r="G348" s="177"/>
      <c r="H348" s="178"/>
      <c r="I348" s="178"/>
      <c r="J348" s="180"/>
      <c r="K348" s="177"/>
      <c r="L348" s="179"/>
      <c r="M348" s="179"/>
      <c r="N348"/>
      <c r="O348"/>
      <c r="P348"/>
      <c r="Q348"/>
      <c r="R348"/>
      <c r="S348"/>
      <c r="T348"/>
      <c r="U348"/>
      <c r="Y348"/>
      <c r="Z348"/>
    </row>
    <row r="349" spans="1:26" x14ac:dyDescent="0.25">
      <c r="B349" s="116"/>
      <c r="C349" s="116"/>
      <c r="D349" s="116"/>
      <c r="E349" s="116"/>
      <c r="F349" s="116"/>
      <c r="G349" s="116"/>
      <c r="H349" s="116"/>
      <c r="I349" s="116"/>
      <c r="J349" s="116"/>
      <c r="K349" s="116"/>
      <c r="L349" s="116"/>
      <c r="M349" s="116"/>
      <c r="N349" s="5"/>
      <c r="O349" s="5"/>
      <c r="P349" s="5"/>
      <c r="Q349" s="5"/>
      <c r="R349" s="5"/>
      <c r="S349" s="5"/>
      <c r="T349" s="5"/>
      <c r="U349" s="5"/>
      <c r="Y349" s="5"/>
      <c r="Z349" s="5"/>
    </row>
    <row r="350" spans="1:26" ht="33" customHeight="1" x14ac:dyDescent="0.3">
      <c r="B350" s="181" t="s">
        <v>632</v>
      </c>
      <c r="C350" s="182"/>
      <c r="D350" s="182"/>
      <c r="E350" s="183"/>
      <c r="F350" s="182" t="s">
        <v>114</v>
      </c>
      <c r="G350" s="184"/>
      <c r="H350" s="184" t="s">
        <v>113</v>
      </c>
      <c r="I350" s="182"/>
      <c r="J350" s="182" t="s">
        <v>243</v>
      </c>
      <c r="K350" s="185"/>
      <c r="L350" s="185"/>
      <c r="M350" s="185"/>
    </row>
    <row r="351" spans="1:26" ht="16.2" thickBot="1" x14ac:dyDescent="0.35">
      <c r="B351" s="181"/>
      <c r="C351" s="182"/>
      <c r="D351" s="182"/>
      <c r="E351" s="183"/>
      <c r="F351" s="182"/>
      <c r="G351" s="184"/>
      <c r="H351" s="184"/>
      <c r="I351" s="182"/>
      <c r="J351" s="182"/>
      <c r="K351" s="185"/>
      <c r="L351" s="185"/>
      <c r="M351" s="185"/>
    </row>
    <row r="352" spans="1:26" ht="13.8" thickBot="1" x14ac:dyDescent="0.3">
      <c r="B352" s="182"/>
      <c r="C352" s="182" t="s">
        <v>278</v>
      </c>
      <c r="D352" s="185"/>
      <c r="E352" s="186"/>
      <c r="F352" s="74">
        <v>1000</v>
      </c>
      <c r="G352" s="187" t="s">
        <v>279</v>
      </c>
      <c r="H352" s="74">
        <v>0.15</v>
      </c>
      <c r="I352" s="188" t="s">
        <v>280</v>
      </c>
      <c r="J352" s="185">
        <f>H352*F352</f>
        <v>150</v>
      </c>
      <c r="K352" s="188" t="s">
        <v>57</v>
      </c>
      <c r="L352" s="185"/>
      <c r="M352" s="185"/>
    </row>
    <row r="353" spans="1:26" ht="13.8" thickBot="1" x14ac:dyDescent="0.3">
      <c r="B353" s="182"/>
      <c r="C353" s="182" t="s">
        <v>685</v>
      </c>
      <c r="D353" s="188">
        <f>F380/2</f>
        <v>59.5</v>
      </c>
      <c r="E353" s="182" t="s">
        <v>282</v>
      </c>
      <c r="F353" s="74">
        <f>+D353*8</f>
        <v>476</v>
      </c>
      <c r="G353" s="184" t="s">
        <v>256</v>
      </c>
      <c r="H353" s="74">
        <v>0.83</v>
      </c>
      <c r="I353" s="188" t="s">
        <v>257</v>
      </c>
      <c r="J353" s="185">
        <f>H353*F353</f>
        <v>395.08</v>
      </c>
      <c r="K353" s="188" t="s">
        <v>57</v>
      </c>
      <c r="L353" s="185"/>
      <c r="M353" s="185"/>
    </row>
    <row r="354" spans="1:26" ht="13.8" thickBot="1" x14ac:dyDescent="0.3">
      <c r="B354" s="182"/>
      <c r="C354" s="182" t="s">
        <v>686</v>
      </c>
      <c r="D354" s="188">
        <f>D353</f>
        <v>59.5</v>
      </c>
      <c r="E354" s="182" t="s">
        <v>282</v>
      </c>
      <c r="F354" s="74">
        <v>11.88</v>
      </c>
      <c r="G354" s="184" t="s">
        <v>212</v>
      </c>
      <c r="H354" s="74">
        <v>4</v>
      </c>
      <c r="I354" s="188" t="s">
        <v>206</v>
      </c>
      <c r="J354" s="185">
        <f t="shared" ref="J354:J358" si="35">H354*F354</f>
        <v>47.52</v>
      </c>
      <c r="K354" s="188" t="s">
        <v>57</v>
      </c>
      <c r="L354" s="185"/>
      <c r="M354" s="185"/>
    </row>
    <row r="355" spans="1:26" ht="13.8" thickBot="1" x14ac:dyDescent="0.3">
      <c r="B355" s="182"/>
      <c r="C355" s="182" t="s">
        <v>284</v>
      </c>
      <c r="D355" s="185"/>
      <c r="E355" s="188"/>
      <c r="F355" s="74">
        <v>200</v>
      </c>
      <c r="G355" s="184" t="s">
        <v>256</v>
      </c>
      <c r="H355" s="74">
        <v>1.53</v>
      </c>
      <c r="I355" s="188" t="s">
        <v>257</v>
      </c>
      <c r="J355" s="185">
        <f t="shared" si="35"/>
        <v>306</v>
      </c>
      <c r="K355" s="188" t="s">
        <v>57</v>
      </c>
      <c r="L355" s="185"/>
      <c r="M355" s="185"/>
    </row>
    <row r="356" spans="1:26" ht="13.8" thickBot="1" x14ac:dyDescent="0.3">
      <c r="B356" s="182"/>
      <c r="C356" s="182" t="s">
        <v>285</v>
      </c>
      <c r="D356" s="185"/>
      <c r="E356" s="188"/>
      <c r="F356" s="74">
        <v>1.48</v>
      </c>
      <c r="G356" s="184" t="s">
        <v>256</v>
      </c>
      <c r="H356" s="74">
        <v>1.6</v>
      </c>
      <c r="I356" s="188" t="s">
        <v>257</v>
      </c>
      <c r="J356" s="185">
        <f t="shared" si="35"/>
        <v>2.3679999999999999</v>
      </c>
      <c r="K356" s="188" t="s">
        <v>57</v>
      </c>
      <c r="L356" s="185"/>
      <c r="M356" s="185"/>
    </row>
    <row r="357" spans="1:26" ht="13.8" thickBot="1" x14ac:dyDescent="0.3">
      <c r="B357" s="182"/>
      <c r="C357" s="182" t="s">
        <v>286</v>
      </c>
      <c r="D357" s="185"/>
      <c r="E357" s="188"/>
      <c r="F357" s="74"/>
      <c r="G357" s="184"/>
      <c r="H357" s="74"/>
      <c r="I357" s="188"/>
      <c r="J357" s="185">
        <f t="shared" si="35"/>
        <v>0</v>
      </c>
      <c r="K357" s="188" t="s">
        <v>57</v>
      </c>
      <c r="L357" s="185"/>
      <c r="M357" s="185"/>
    </row>
    <row r="358" spans="1:26" ht="13.8" thickBot="1" x14ac:dyDescent="0.3">
      <c r="B358" s="185"/>
      <c r="C358" s="182" t="s">
        <v>286</v>
      </c>
      <c r="D358" s="185"/>
      <c r="E358" s="185"/>
      <c r="F358" s="74"/>
      <c r="G358" s="185"/>
      <c r="H358" s="74"/>
      <c r="I358" s="185"/>
      <c r="J358" s="185">
        <f t="shared" si="35"/>
        <v>0</v>
      </c>
      <c r="K358" s="188" t="s">
        <v>57</v>
      </c>
      <c r="L358" s="185"/>
      <c r="M358" s="185"/>
    </row>
    <row r="359" spans="1:26" x14ac:dyDescent="0.25">
      <c r="B359" s="207"/>
      <c r="C359" s="207" t="s">
        <v>54</v>
      </c>
      <c r="D359" s="207"/>
      <c r="E359" s="207"/>
      <c r="F359" s="207"/>
      <c r="G359" s="207"/>
      <c r="H359" s="207"/>
      <c r="I359" s="207"/>
      <c r="J359" s="207">
        <f>SUM(J352:J358)</f>
        <v>900.96799999999996</v>
      </c>
      <c r="K359" s="208" t="s">
        <v>57</v>
      </c>
      <c r="L359" s="207"/>
      <c r="M359" s="207"/>
    </row>
    <row r="360" spans="1:26" s="5" customFormat="1" x14ac:dyDescent="0.25">
      <c r="A360" s="356"/>
      <c r="B360" s="185"/>
      <c r="C360" s="185"/>
      <c r="D360" s="185"/>
      <c r="E360" s="185"/>
      <c r="F360" s="185"/>
      <c r="G360" s="185"/>
      <c r="H360" s="185"/>
      <c r="I360" s="185"/>
      <c r="J360" s="185"/>
      <c r="K360" s="185"/>
      <c r="L360" s="185"/>
      <c r="M360" s="185"/>
      <c r="N360"/>
      <c r="O360"/>
      <c r="P360"/>
      <c r="Q360"/>
      <c r="R360"/>
      <c r="S360"/>
      <c r="T360"/>
      <c r="U360"/>
      <c r="Y360"/>
      <c r="Z360"/>
    </row>
    <row r="361" spans="1:26" x14ac:dyDescent="0.25">
      <c r="B361" s="116"/>
      <c r="C361" s="116"/>
      <c r="D361" s="116"/>
      <c r="E361" s="116"/>
      <c r="F361" s="116"/>
      <c r="G361" s="116"/>
      <c r="H361" s="116"/>
      <c r="I361" s="116"/>
      <c r="J361" s="116"/>
      <c r="K361" s="116"/>
      <c r="L361" s="116"/>
      <c r="M361" s="116"/>
      <c r="N361" s="5"/>
      <c r="O361" s="5"/>
      <c r="P361" s="5"/>
      <c r="Q361" s="5"/>
      <c r="R361" s="5"/>
      <c r="S361" s="5"/>
      <c r="T361" s="5"/>
      <c r="U361" s="5"/>
      <c r="Y361" s="5"/>
      <c r="Z361" s="5"/>
    </row>
    <row r="362" spans="1:26" ht="31.95" customHeight="1" x14ac:dyDescent="0.3">
      <c r="B362" s="88" t="s">
        <v>714</v>
      </c>
      <c r="C362" s="79"/>
      <c r="D362" s="79"/>
      <c r="E362" s="79"/>
      <c r="F362" s="79"/>
      <c r="G362" s="79"/>
      <c r="H362" s="79"/>
      <c r="I362" s="79"/>
      <c r="J362" s="79"/>
      <c r="K362" s="79"/>
      <c r="L362" s="79"/>
      <c r="M362" s="79"/>
    </row>
    <row r="363" spans="1:26" ht="15" x14ac:dyDescent="0.25">
      <c r="B363" s="1096" t="s">
        <v>699</v>
      </c>
      <c r="C363" s="1096"/>
      <c r="D363" s="1096"/>
      <c r="E363" s="1096"/>
      <c r="F363" s="1096"/>
      <c r="G363" s="1096"/>
      <c r="H363" s="1096"/>
      <c r="I363" s="1096"/>
      <c r="J363" s="1096"/>
      <c r="K363" s="1096"/>
      <c r="L363" s="1096"/>
      <c r="M363" s="1096"/>
    </row>
    <row r="364" spans="1:26" ht="15" x14ac:dyDescent="0.25">
      <c r="B364" s="1096" t="s">
        <v>780</v>
      </c>
      <c r="C364" s="1096"/>
      <c r="D364" s="1096"/>
      <c r="E364" s="1096"/>
      <c r="F364" s="1096"/>
      <c r="G364" s="1096"/>
      <c r="H364" s="1096"/>
      <c r="I364" s="1096"/>
      <c r="J364" s="1096"/>
      <c r="K364" s="1096"/>
      <c r="L364" s="1096"/>
      <c r="M364" s="1096"/>
    </row>
    <row r="365" spans="1:26" ht="46.95" customHeight="1" x14ac:dyDescent="0.3">
      <c r="B365" s="88"/>
      <c r="C365" s="79"/>
      <c r="D365" s="79"/>
      <c r="E365" s="83"/>
      <c r="F365" s="83"/>
      <c r="G365" s="83"/>
      <c r="H365" s="84"/>
      <c r="I365" s="84"/>
      <c r="J365" s="83"/>
      <c r="K365" s="83"/>
      <c r="L365" s="84"/>
      <c r="M365" s="84"/>
    </row>
    <row r="366" spans="1:26" ht="15.6" x14ac:dyDescent="0.3">
      <c r="B366" s="88"/>
      <c r="C366" s="79"/>
      <c r="D366" s="79"/>
      <c r="E366" s="1069" t="s">
        <v>290</v>
      </c>
      <c r="F366" s="1069"/>
      <c r="G366" s="1069"/>
      <c r="H366" s="1070" t="s">
        <v>113</v>
      </c>
      <c r="I366" s="1070"/>
      <c r="J366" s="1069" t="s">
        <v>291</v>
      </c>
      <c r="K366" s="1069"/>
      <c r="L366" s="1070" t="s">
        <v>113</v>
      </c>
      <c r="M366" s="1070"/>
    </row>
    <row r="367" spans="1:26" ht="15.6" thickBot="1" x14ac:dyDescent="0.3">
      <c r="B367" s="78"/>
      <c r="C367" s="79"/>
      <c r="D367" s="79"/>
      <c r="E367" s="79"/>
      <c r="F367" s="79"/>
      <c r="G367" s="79"/>
      <c r="H367" s="79"/>
      <c r="I367" s="79"/>
      <c r="J367" s="79"/>
      <c r="K367" s="79"/>
      <c r="L367" s="79"/>
      <c r="M367" s="79"/>
    </row>
    <row r="368" spans="1:26" ht="13.8" thickBot="1" x14ac:dyDescent="0.3">
      <c r="B368" s="79"/>
      <c r="C368" s="80" t="s">
        <v>297</v>
      </c>
      <c r="D368" s="79"/>
      <c r="E368" s="79"/>
      <c r="F368" s="91">
        <v>1</v>
      </c>
      <c r="G368" s="82" t="s">
        <v>293</v>
      </c>
      <c r="H368" s="90">
        <f t="shared" ref="H368:H379" si="36">$H$166</f>
        <v>14.5</v>
      </c>
      <c r="I368" s="82" t="s">
        <v>294</v>
      </c>
      <c r="J368" s="92"/>
      <c r="K368" s="82" t="s">
        <v>293</v>
      </c>
      <c r="L368" s="90">
        <f t="shared" ref="L368:L379" si="37">$L$166</f>
        <v>14.5</v>
      </c>
      <c r="M368" s="82" t="s">
        <v>294</v>
      </c>
    </row>
    <row r="369" spans="1:26" ht="13.8" thickBot="1" x14ac:dyDescent="0.3">
      <c r="B369" s="79"/>
      <c r="C369" s="80" t="s">
        <v>747</v>
      </c>
      <c r="D369" s="79"/>
      <c r="E369" s="79"/>
      <c r="F369" s="91">
        <v>20</v>
      </c>
      <c r="G369" s="82" t="s">
        <v>293</v>
      </c>
      <c r="H369" s="90">
        <f t="shared" si="36"/>
        <v>14.5</v>
      </c>
      <c r="I369" s="82" t="s">
        <v>294</v>
      </c>
      <c r="J369" s="92">
        <v>20</v>
      </c>
      <c r="K369" s="82" t="s">
        <v>293</v>
      </c>
      <c r="L369" s="90">
        <f t="shared" si="37"/>
        <v>14.5</v>
      </c>
      <c r="M369" s="82" t="s">
        <v>294</v>
      </c>
    </row>
    <row r="370" spans="1:26" ht="13.8" thickBot="1" x14ac:dyDescent="0.3">
      <c r="B370" s="79"/>
      <c r="C370" s="80" t="s">
        <v>777</v>
      </c>
      <c r="D370" s="79"/>
      <c r="E370" s="79"/>
      <c r="F370" s="91"/>
      <c r="G370" s="82" t="s">
        <v>293</v>
      </c>
      <c r="H370" s="90">
        <f t="shared" si="36"/>
        <v>14.5</v>
      </c>
      <c r="I370" s="82" t="s">
        <v>294</v>
      </c>
      <c r="J370" s="92"/>
      <c r="K370" s="82" t="s">
        <v>293</v>
      </c>
      <c r="L370" s="90">
        <f t="shared" si="37"/>
        <v>14.5</v>
      </c>
      <c r="M370" s="82" t="s">
        <v>294</v>
      </c>
    </row>
    <row r="371" spans="1:26" ht="13.8" thickBot="1" x14ac:dyDescent="0.3">
      <c r="B371" s="79"/>
      <c r="C371" s="80" t="s">
        <v>569</v>
      </c>
      <c r="D371" s="79"/>
      <c r="E371" s="79"/>
      <c r="F371" s="91"/>
      <c r="G371" s="82" t="s">
        <v>212</v>
      </c>
      <c r="H371" s="91"/>
      <c r="I371" s="82" t="s">
        <v>206</v>
      </c>
      <c r="J371" s="91">
        <f>'Gårdens info'!G33*'Gårdens info'!D33*0.8</f>
        <v>0</v>
      </c>
      <c r="K371" s="82" t="s">
        <v>212</v>
      </c>
      <c r="L371" s="91">
        <v>4.5</v>
      </c>
      <c r="M371" s="82" t="s">
        <v>206</v>
      </c>
    </row>
    <row r="372" spans="1:26" ht="13.8" thickBot="1" x14ac:dyDescent="0.3">
      <c r="B372" s="79"/>
      <c r="C372" s="80" t="s">
        <v>303</v>
      </c>
      <c r="D372" s="79"/>
      <c r="E372" s="79"/>
      <c r="F372" s="91">
        <v>40</v>
      </c>
      <c r="G372" s="82" t="s">
        <v>293</v>
      </c>
      <c r="H372" s="90">
        <f t="shared" si="36"/>
        <v>14.5</v>
      </c>
      <c r="I372" s="82" t="s">
        <v>294</v>
      </c>
      <c r="J372" s="92"/>
      <c r="K372" s="82" t="s">
        <v>293</v>
      </c>
      <c r="L372" s="90">
        <f t="shared" si="37"/>
        <v>14.5</v>
      </c>
      <c r="M372" s="82" t="s">
        <v>294</v>
      </c>
    </row>
    <row r="373" spans="1:26" ht="13.8" thickBot="1" x14ac:dyDescent="0.3">
      <c r="B373" s="79"/>
      <c r="C373" s="80" t="s">
        <v>778</v>
      </c>
      <c r="D373" s="79"/>
      <c r="E373" s="79"/>
      <c r="F373" s="91">
        <v>20</v>
      </c>
      <c r="G373" s="82" t="s">
        <v>293</v>
      </c>
      <c r="H373" s="90">
        <f t="shared" si="36"/>
        <v>14.5</v>
      </c>
      <c r="I373" s="82" t="s">
        <v>294</v>
      </c>
      <c r="J373" s="92">
        <v>30</v>
      </c>
      <c r="K373" s="82" t="s">
        <v>293</v>
      </c>
      <c r="L373" s="90">
        <f t="shared" si="37"/>
        <v>14.5</v>
      </c>
      <c r="M373" s="82" t="s">
        <v>294</v>
      </c>
    </row>
    <row r="374" spans="1:26" ht="13.8" thickBot="1" x14ac:dyDescent="0.3">
      <c r="B374" s="79"/>
      <c r="C374" s="80" t="s">
        <v>503</v>
      </c>
      <c r="D374" s="79"/>
      <c r="E374" s="79"/>
      <c r="F374" s="91">
        <v>8</v>
      </c>
      <c r="G374" s="82" t="s">
        <v>293</v>
      </c>
      <c r="H374" s="90">
        <f t="shared" si="36"/>
        <v>14.5</v>
      </c>
      <c r="I374" s="82" t="s">
        <v>294</v>
      </c>
      <c r="J374" s="92"/>
      <c r="K374" s="82" t="s">
        <v>293</v>
      </c>
      <c r="L374" s="90">
        <f t="shared" si="37"/>
        <v>14.5</v>
      </c>
      <c r="M374" s="82" t="s">
        <v>294</v>
      </c>
    </row>
    <row r="375" spans="1:26" ht="13.8" thickBot="1" x14ac:dyDescent="0.3">
      <c r="B375" s="79"/>
      <c r="C375" s="80" t="s">
        <v>38</v>
      </c>
      <c r="D375" s="79"/>
      <c r="E375" s="79"/>
      <c r="F375" s="91">
        <v>10</v>
      </c>
      <c r="G375" s="82" t="s">
        <v>293</v>
      </c>
      <c r="H375" s="90">
        <f t="shared" si="36"/>
        <v>14.5</v>
      </c>
      <c r="I375" s="82" t="s">
        <v>294</v>
      </c>
      <c r="J375" s="92"/>
      <c r="K375" s="82" t="s">
        <v>293</v>
      </c>
      <c r="L375" s="90">
        <f t="shared" si="37"/>
        <v>14.5</v>
      </c>
      <c r="M375" s="82" t="s">
        <v>294</v>
      </c>
    </row>
    <row r="376" spans="1:26" ht="13.8" thickBot="1" x14ac:dyDescent="0.3">
      <c r="B376" s="79"/>
      <c r="C376" s="80" t="s">
        <v>38</v>
      </c>
      <c r="D376" s="79"/>
      <c r="E376" s="79"/>
      <c r="F376" s="92">
        <v>20</v>
      </c>
      <c r="G376" s="82" t="s">
        <v>293</v>
      </c>
      <c r="H376" s="90">
        <f t="shared" si="36"/>
        <v>14.5</v>
      </c>
      <c r="I376" s="82" t="s">
        <v>294</v>
      </c>
      <c r="J376" s="92"/>
      <c r="K376" s="82" t="s">
        <v>293</v>
      </c>
      <c r="L376" s="90">
        <f t="shared" si="37"/>
        <v>14.5</v>
      </c>
      <c r="M376" s="82" t="s">
        <v>294</v>
      </c>
    </row>
    <row r="377" spans="1:26" ht="13.8" thickBot="1" x14ac:dyDescent="0.3">
      <c r="B377" s="79"/>
      <c r="C377" s="80" t="s">
        <v>431</v>
      </c>
      <c r="D377" s="79"/>
      <c r="E377" s="79"/>
      <c r="F377" s="92"/>
      <c r="G377" s="82" t="s">
        <v>293</v>
      </c>
      <c r="H377" s="90">
        <f t="shared" si="36"/>
        <v>14.5</v>
      </c>
      <c r="I377" s="82" t="s">
        <v>294</v>
      </c>
      <c r="J377" s="75"/>
      <c r="K377" s="82" t="s">
        <v>293</v>
      </c>
      <c r="L377" s="90">
        <f t="shared" si="37"/>
        <v>14.5</v>
      </c>
      <c r="M377" s="82" t="s">
        <v>294</v>
      </c>
    </row>
    <row r="378" spans="1:26" ht="13.8" thickBot="1" x14ac:dyDescent="0.3">
      <c r="B378" s="79"/>
      <c r="C378" s="80" t="s">
        <v>431</v>
      </c>
      <c r="D378" s="79"/>
      <c r="E378" s="79"/>
      <c r="F378" s="92"/>
      <c r="G378" s="82" t="s">
        <v>293</v>
      </c>
      <c r="H378" s="90">
        <f t="shared" si="36"/>
        <v>14.5</v>
      </c>
      <c r="I378" s="82" t="s">
        <v>294</v>
      </c>
      <c r="J378" s="75"/>
      <c r="K378" s="82" t="s">
        <v>293</v>
      </c>
      <c r="L378" s="90">
        <f t="shared" si="37"/>
        <v>14.5</v>
      </c>
      <c r="M378" s="82" t="s">
        <v>294</v>
      </c>
    </row>
    <row r="379" spans="1:26" ht="13.8" thickBot="1" x14ac:dyDescent="0.3">
      <c r="B379" s="79"/>
      <c r="C379" s="80" t="s">
        <v>431</v>
      </c>
      <c r="D379" s="81"/>
      <c r="E379" s="81"/>
      <c r="F379" s="75"/>
      <c r="G379" s="82" t="s">
        <v>293</v>
      </c>
      <c r="H379" s="90">
        <f t="shared" si="36"/>
        <v>14.5</v>
      </c>
      <c r="I379" s="82" t="s">
        <v>294</v>
      </c>
      <c r="J379" s="75"/>
      <c r="K379" s="82" t="s">
        <v>293</v>
      </c>
      <c r="L379" s="90">
        <f t="shared" si="37"/>
        <v>14.5</v>
      </c>
      <c r="M379" s="82" t="s">
        <v>294</v>
      </c>
    </row>
    <row r="380" spans="1:26" x14ac:dyDescent="0.25">
      <c r="B380" s="209"/>
      <c r="C380" s="210" t="s">
        <v>54</v>
      </c>
      <c r="D380" s="211"/>
      <c r="E380" s="211"/>
      <c r="F380" s="212">
        <f>SUM(F368:F370)+SUM(F372:F379)</f>
        <v>119</v>
      </c>
      <c r="G380" s="209" t="s">
        <v>293</v>
      </c>
      <c r="H380" s="213">
        <f>F380*H166+F371*H371</f>
        <v>1725.5</v>
      </c>
      <c r="I380" s="209" t="s">
        <v>57</v>
      </c>
      <c r="J380" s="212">
        <f>SUM(J368:J370,J372:J379)</f>
        <v>50</v>
      </c>
      <c r="K380" s="209" t="s">
        <v>293</v>
      </c>
      <c r="L380" s="213">
        <f>J380*L166+J371*L371</f>
        <v>725</v>
      </c>
      <c r="M380" s="209" t="s">
        <v>57</v>
      </c>
    </row>
    <row r="381" spans="1:26" s="5" customFormat="1" ht="13.8" thickBot="1" x14ac:dyDescent="0.3">
      <c r="A381" s="356"/>
      <c r="B381" s="116"/>
      <c r="C381" s="116"/>
      <c r="D381" s="116"/>
      <c r="E381" s="116"/>
      <c r="F381" s="116"/>
      <c r="G381" s="116"/>
      <c r="H381" s="116"/>
      <c r="I381" s="116"/>
      <c r="J381" s="116"/>
      <c r="K381" s="116"/>
      <c r="L381" s="116"/>
      <c r="M381" s="116"/>
      <c r="N381"/>
      <c r="O381"/>
      <c r="P381"/>
      <c r="Q381"/>
      <c r="R381"/>
      <c r="S381"/>
      <c r="T381"/>
      <c r="U381"/>
      <c r="Y381"/>
      <c r="Z381"/>
    </row>
    <row r="382" spans="1:26" ht="58.2" customHeight="1" thickBot="1" x14ac:dyDescent="0.45">
      <c r="B382" s="1078" t="s">
        <v>581</v>
      </c>
      <c r="C382" s="1079"/>
      <c r="D382" s="1079"/>
      <c r="E382" s="1080"/>
      <c r="F382" s="116"/>
      <c r="G382" s="116"/>
      <c r="H382" s="116"/>
      <c r="I382" s="116"/>
      <c r="J382" s="1140" t="s">
        <v>241</v>
      </c>
      <c r="K382" s="1140"/>
      <c r="L382" s="1140"/>
      <c r="M382" s="116"/>
      <c r="N382" s="5"/>
      <c r="O382" s="5"/>
      <c r="P382" s="5"/>
      <c r="Q382" s="5"/>
      <c r="R382" s="5"/>
      <c r="S382" s="5"/>
      <c r="T382" s="5"/>
      <c r="U382" s="5"/>
      <c r="Y382" s="5"/>
      <c r="Z382" s="5"/>
    </row>
    <row r="383" spans="1:26" x14ac:dyDescent="0.25">
      <c r="B383" s="116"/>
      <c r="C383" s="116"/>
      <c r="D383" s="116"/>
      <c r="E383" s="116"/>
      <c r="F383" s="116"/>
      <c r="G383" s="116"/>
      <c r="H383" s="116"/>
      <c r="I383" s="116"/>
      <c r="J383" s="116"/>
      <c r="K383" s="116"/>
      <c r="L383" s="116"/>
      <c r="M383" s="116"/>
    </row>
    <row r="384" spans="1:26" ht="15" customHeight="1" x14ac:dyDescent="0.25">
      <c r="B384" s="1128" t="s">
        <v>636</v>
      </c>
      <c r="C384" s="1128"/>
      <c r="D384" s="1128"/>
      <c r="E384" s="1128"/>
      <c r="F384" s="1128"/>
      <c r="G384" s="1128"/>
      <c r="H384" s="1128"/>
      <c r="I384" s="1128"/>
      <c r="J384" s="1128"/>
      <c r="K384" s="1128"/>
      <c r="L384" s="1128"/>
      <c r="M384" s="1128"/>
    </row>
    <row r="385" spans="1:26" s="69" customFormat="1" ht="49.95" customHeight="1" x14ac:dyDescent="0.25">
      <c r="A385" s="358"/>
      <c r="B385" s="116"/>
      <c r="C385" s="116"/>
      <c r="D385" s="116"/>
      <c r="E385" s="116"/>
      <c r="F385" s="116"/>
      <c r="G385" s="116"/>
      <c r="H385" s="116"/>
      <c r="I385" s="116"/>
      <c r="J385" s="116"/>
      <c r="K385" s="116"/>
      <c r="L385" s="116"/>
      <c r="M385" s="116"/>
      <c r="N385"/>
      <c r="O385"/>
      <c r="P385"/>
      <c r="Q385"/>
      <c r="R385"/>
      <c r="S385"/>
      <c r="T385"/>
      <c r="U385"/>
      <c r="Y385"/>
      <c r="Z385"/>
    </row>
    <row r="386" spans="1:26" ht="31.2" customHeight="1" x14ac:dyDescent="0.3">
      <c r="B386" s="85" t="s">
        <v>694</v>
      </c>
      <c r="C386" s="51"/>
      <c r="D386" s="51"/>
      <c r="E386" s="51"/>
      <c r="F386" s="1075" t="s">
        <v>114</v>
      </c>
      <c r="G386" s="1075"/>
      <c r="H386" s="1076" t="s">
        <v>113</v>
      </c>
      <c r="I386" s="1076"/>
      <c r="J386" s="1075" t="s">
        <v>243</v>
      </c>
      <c r="K386" s="1075"/>
      <c r="L386" s="58"/>
      <c r="M386" s="58"/>
      <c r="N386" s="69"/>
      <c r="O386" s="69"/>
      <c r="P386" s="69"/>
      <c r="Q386" s="69"/>
      <c r="R386" s="69"/>
      <c r="S386" s="69"/>
      <c r="T386" s="69"/>
      <c r="U386" s="69"/>
      <c r="Y386" s="69"/>
      <c r="Z386" s="69"/>
    </row>
    <row r="387" spans="1:26" ht="15.6" x14ac:dyDescent="0.3">
      <c r="B387" s="85"/>
      <c r="C387" s="51"/>
      <c r="D387" s="387" t="s">
        <v>253</v>
      </c>
      <c r="E387" s="51"/>
      <c r="F387" s="59"/>
      <c r="G387" s="59"/>
      <c r="H387" s="60"/>
      <c r="I387" s="60"/>
      <c r="J387" s="59"/>
      <c r="K387" s="59"/>
      <c r="L387" s="58"/>
      <c r="M387" s="58"/>
    </row>
    <row r="388" spans="1:26" ht="13.8" thickBot="1" x14ac:dyDescent="0.3">
      <c r="B388" s="171" t="s">
        <v>254</v>
      </c>
      <c r="C388" s="51"/>
      <c r="D388" s="51"/>
      <c r="E388" s="51"/>
      <c r="F388" s="53"/>
      <c r="G388" s="53"/>
      <c r="H388" s="52"/>
      <c r="I388" s="52"/>
      <c r="J388" s="58"/>
      <c r="K388" s="58"/>
      <c r="L388" s="58"/>
      <c r="M388" s="58"/>
    </row>
    <row r="389" spans="1:26" ht="13.8" thickBot="1" x14ac:dyDescent="0.3">
      <c r="B389" s="51"/>
      <c r="C389" s="51" t="s">
        <v>603</v>
      </c>
      <c r="D389" s="58"/>
      <c r="E389" s="51"/>
      <c r="F389" s="95">
        <v>3.3</v>
      </c>
      <c r="G389" s="53" t="s">
        <v>256</v>
      </c>
      <c r="H389" s="77">
        <v>16.8</v>
      </c>
      <c r="I389" s="52" t="s">
        <v>257</v>
      </c>
      <c r="J389" s="58">
        <f>F389*H389</f>
        <v>55.44</v>
      </c>
      <c r="K389" s="51" t="s">
        <v>57</v>
      </c>
      <c r="L389" s="58"/>
      <c r="M389" s="58"/>
    </row>
    <row r="390" spans="1:26" ht="13.8" thickBot="1" x14ac:dyDescent="0.3">
      <c r="B390" s="51"/>
      <c r="C390" s="51" t="s">
        <v>265</v>
      </c>
      <c r="D390" s="51"/>
      <c r="E390" s="51"/>
      <c r="F390" s="95"/>
      <c r="G390" s="53" t="s">
        <v>256</v>
      </c>
      <c r="H390" s="77"/>
      <c r="I390" s="52" t="s">
        <v>257</v>
      </c>
      <c r="J390" s="58">
        <f t="shared" ref="J390:J391" si="38">F390*H390</f>
        <v>0</v>
      </c>
      <c r="K390" s="51" t="s">
        <v>57</v>
      </c>
      <c r="L390" s="58"/>
      <c r="M390" s="58"/>
    </row>
    <row r="391" spans="1:26" ht="13.8" thickBot="1" x14ac:dyDescent="0.3">
      <c r="B391" s="51"/>
      <c r="C391" s="51" t="s">
        <v>265</v>
      </c>
      <c r="D391" s="51"/>
      <c r="E391" s="51"/>
      <c r="F391" s="95"/>
      <c r="G391" s="53" t="s">
        <v>256</v>
      </c>
      <c r="H391" s="77"/>
      <c r="I391" s="52" t="s">
        <v>257</v>
      </c>
      <c r="J391" s="58">
        <f t="shared" si="38"/>
        <v>0</v>
      </c>
      <c r="K391" s="51" t="s">
        <v>57</v>
      </c>
      <c r="L391" s="58"/>
      <c r="M391" s="58"/>
    </row>
    <row r="392" spans="1:26" x14ac:dyDescent="0.25">
      <c r="B392" s="51"/>
      <c r="C392" s="51"/>
      <c r="D392" s="51"/>
      <c r="E392" s="51"/>
      <c r="F392" s="53"/>
      <c r="G392" s="53"/>
      <c r="H392" s="52"/>
      <c r="I392" s="52"/>
      <c r="J392" s="58"/>
      <c r="K392" s="51"/>
      <c r="L392" s="58"/>
      <c r="M392" s="58"/>
    </row>
    <row r="393" spans="1:26" ht="13.8" thickBot="1" x14ac:dyDescent="0.3">
      <c r="B393" s="171" t="s">
        <v>266</v>
      </c>
      <c r="C393" s="51"/>
      <c r="D393" s="51"/>
      <c r="E393" s="51"/>
      <c r="F393" s="53"/>
      <c r="G393" s="53"/>
      <c r="H393" s="52"/>
      <c r="I393" s="52"/>
      <c r="J393" s="58"/>
      <c r="K393" s="51"/>
      <c r="L393" s="58"/>
      <c r="M393" s="58"/>
    </row>
    <row r="394" spans="1:26" ht="13.8" thickBot="1" x14ac:dyDescent="0.3">
      <c r="B394" s="51"/>
      <c r="C394" s="51" t="s">
        <v>267</v>
      </c>
      <c r="D394" s="51"/>
      <c r="E394" s="51"/>
      <c r="F394" s="95"/>
      <c r="G394" s="53"/>
      <c r="H394" s="95"/>
      <c r="I394" s="52"/>
      <c r="J394" s="58"/>
      <c r="K394" s="51" t="s">
        <v>57</v>
      </c>
      <c r="L394" s="58"/>
      <c r="M394" s="58"/>
    </row>
    <row r="395" spans="1:26" ht="13.8" thickBot="1" x14ac:dyDescent="0.3">
      <c r="B395" s="51"/>
      <c r="C395" s="51" t="s">
        <v>267</v>
      </c>
      <c r="D395" s="51"/>
      <c r="E395" s="51"/>
      <c r="F395" s="95"/>
      <c r="G395" s="53"/>
      <c r="H395" s="95"/>
      <c r="I395" s="52"/>
      <c r="J395" s="58"/>
      <c r="K395" s="51" t="s">
        <v>57</v>
      </c>
      <c r="L395" s="58"/>
      <c r="M395" s="58"/>
    </row>
    <row r="396" spans="1:26" ht="13.8" thickBot="1" x14ac:dyDescent="0.3">
      <c r="B396" s="51"/>
      <c r="C396" s="51" t="s">
        <v>267</v>
      </c>
      <c r="D396" s="51"/>
      <c r="E396" s="51"/>
      <c r="F396" s="95"/>
      <c r="G396" s="53"/>
      <c r="H396" s="95"/>
      <c r="I396" s="52"/>
      <c r="J396" s="58"/>
      <c r="K396" s="51" t="s">
        <v>57</v>
      </c>
      <c r="L396" s="58"/>
      <c r="M396" s="58"/>
    </row>
    <row r="397" spans="1:26" x14ac:dyDescent="0.25">
      <c r="B397" s="195"/>
      <c r="C397" s="195" t="s">
        <v>54</v>
      </c>
      <c r="D397" s="195"/>
      <c r="E397" s="195"/>
      <c r="F397" s="196"/>
      <c r="G397" s="196"/>
      <c r="H397" s="196"/>
      <c r="I397" s="197"/>
      <c r="J397" s="195">
        <f>SUM(J389:J396)</f>
        <v>55.44</v>
      </c>
      <c r="K397" s="195" t="s">
        <v>57</v>
      </c>
      <c r="L397" s="195"/>
      <c r="M397" s="195"/>
    </row>
    <row r="398" spans="1:26" s="5" customFormat="1" x14ac:dyDescent="0.25">
      <c r="A398" s="356"/>
      <c r="B398" s="51"/>
      <c r="C398" s="51"/>
      <c r="D398" s="54"/>
      <c r="E398" s="51"/>
      <c r="F398" s="51"/>
      <c r="G398" s="53"/>
      <c r="H398" s="52"/>
      <c r="I398" s="52"/>
      <c r="J398" s="52"/>
      <c r="K398" s="58"/>
      <c r="L398" s="58"/>
      <c r="M398" s="58"/>
      <c r="N398"/>
      <c r="O398"/>
      <c r="P398"/>
      <c r="Q398"/>
      <c r="R398"/>
      <c r="S398"/>
      <c r="T398"/>
      <c r="U398"/>
      <c r="Y398"/>
      <c r="Z398"/>
    </row>
    <row r="399" spans="1:26" x14ac:dyDescent="0.25">
      <c r="A399" s="361"/>
      <c r="B399" s="435"/>
      <c r="C399" s="435"/>
      <c r="D399" s="445"/>
      <c r="E399" s="435"/>
      <c r="F399" s="435"/>
      <c r="G399" s="439"/>
      <c r="H399" s="437"/>
      <c r="I399" s="437"/>
      <c r="J399" s="437"/>
      <c r="K399" s="116"/>
      <c r="L399" s="116"/>
      <c r="M399" s="116"/>
      <c r="N399" s="5"/>
      <c r="O399" s="5"/>
      <c r="P399" s="5"/>
      <c r="Q399" s="5"/>
      <c r="R399" s="5"/>
      <c r="S399" s="5"/>
      <c r="T399" s="5"/>
      <c r="U399" s="5"/>
      <c r="Y399" s="5"/>
      <c r="Z399" s="5"/>
    </row>
    <row r="400" spans="1:26" ht="28.2" customHeight="1" x14ac:dyDescent="0.3">
      <c r="A400" s="361"/>
      <c r="B400" s="176" t="s">
        <v>638</v>
      </c>
      <c r="C400" s="177"/>
      <c r="D400" s="177"/>
      <c r="E400" s="177"/>
      <c r="F400" s="1067" t="s">
        <v>114</v>
      </c>
      <c r="G400" s="1067"/>
      <c r="H400" s="1067" t="s">
        <v>113</v>
      </c>
      <c r="I400" s="1067"/>
      <c r="J400" s="1067" t="s">
        <v>243</v>
      </c>
      <c r="K400" s="1067"/>
      <c r="L400" s="179"/>
      <c r="M400" s="179"/>
    </row>
    <row r="401" spans="1:26" ht="13.8" thickBot="1" x14ac:dyDescent="0.3">
      <c r="B401" s="177"/>
      <c r="C401" s="177"/>
      <c r="D401" s="177"/>
      <c r="E401" s="177"/>
      <c r="F401" s="177"/>
      <c r="G401" s="177"/>
      <c r="H401" s="178"/>
      <c r="I401" s="178"/>
      <c r="J401" s="179"/>
      <c r="K401" s="179"/>
      <c r="L401" s="179"/>
      <c r="M401" s="179"/>
    </row>
    <row r="402" spans="1:26" ht="13.8" thickBot="1" x14ac:dyDescent="0.3">
      <c r="B402" s="177"/>
      <c r="C402" s="177" t="s">
        <v>696</v>
      </c>
      <c r="D402" s="179"/>
      <c r="E402" s="177"/>
      <c r="F402" s="74">
        <v>2</v>
      </c>
      <c r="G402" s="177" t="s">
        <v>7</v>
      </c>
      <c r="H402" s="77">
        <v>62</v>
      </c>
      <c r="I402" s="178" t="s">
        <v>294</v>
      </c>
      <c r="J402" s="180">
        <f t="shared" ref="J402:J404" si="39">F402*H402</f>
        <v>124</v>
      </c>
      <c r="K402" s="177" t="s">
        <v>57</v>
      </c>
      <c r="L402" s="179"/>
      <c r="M402" s="179"/>
    </row>
    <row r="403" spans="1:26" ht="13.8" thickBot="1" x14ac:dyDescent="0.3">
      <c r="B403" s="177"/>
      <c r="C403" s="177" t="s">
        <v>276</v>
      </c>
      <c r="D403" s="177"/>
      <c r="E403" s="177"/>
      <c r="F403" s="74"/>
      <c r="G403" s="177" t="s">
        <v>7</v>
      </c>
      <c r="H403" s="77"/>
      <c r="I403" s="178" t="s">
        <v>57</v>
      </c>
      <c r="J403" s="180">
        <f t="shared" si="39"/>
        <v>0</v>
      </c>
      <c r="K403" s="177" t="s">
        <v>57</v>
      </c>
      <c r="L403" s="179"/>
      <c r="M403" s="179"/>
    </row>
    <row r="404" spans="1:26" ht="13.8" thickBot="1" x14ac:dyDescent="0.3">
      <c r="B404" s="177"/>
      <c r="C404" s="177" t="s">
        <v>276</v>
      </c>
      <c r="D404" s="177"/>
      <c r="E404" s="177"/>
      <c r="F404" s="74"/>
      <c r="G404" s="177" t="s">
        <v>7</v>
      </c>
      <c r="H404" s="77"/>
      <c r="I404" s="178" t="s">
        <v>57</v>
      </c>
      <c r="J404" s="180">
        <f t="shared" si="39"/>
        <v>0</v>
      </c>
      <c r="K404" s="177" t="s">
        <v>57</v>
      </c>
      <c r="L404" s="179"/>
      <c r="M404" s="179"/>
    </row>
    <row r="405" spans="1:26" x14ac:dyDescent="0.25">
      <c r="B405" s="204"/>
      <c r="C405" s="204" t="s">
        <v>54</v>
      </c>
      <c r="D405" s="204"/>
      <c r="E405" s="204"/>
      <c r="F405" s="204"/>
      <c r="G405" s="204"/>
      <c r="H405" s="205"/>
      <c r="I405" s="205"/>
      <c r="J405" s="206">
        <f>SUM(J402:J404)</f>
        <v>124</v>
      </c>
      <c r="K405" s="204" t="s">
        <v>57</v>
      </c>
      <c r="L405" s="204"/>
      <c r="M405" s="204"/>
    </row>
    <row r="406" spans="1:26" s="5" customFormat="1" x14ac:dyDescent="0.25">
      <c r="A406" s="356"/>
      <c r="B406" s="177"/>
      <c r="C406" s="177"/>
      <c r="D406" s="177"/>
      <c r="E406" s="177"/>
      <c r="F406" s="177"/>
      <c r="G406" s="177"/>
      <c r="H406" s="178"/>
      <c r="I406" s="178"/>
      <c r="J406" s="180"/>
      <c r="K406" s="177"/>
      <c r="L406" s="179"/>
      <c r="M406" s="179"/>
      <c r="N406"/>
      <c r="O406"/>
      <c r="P406"/>
      <c r="Q406"/>
      <c r="R406"/>
      <c r="S406"/>
      <c r="T406"/>
      <c r="U406"/>
      <c r="Y406"/>
      <c r="Z406"/>
    </row>
    <row r="407" spans="1:26" x14ac:dyDescent="0.25">
      <c r="N407" s="5"/>
      <c r="O407" s="5"/>
      <c r="P407" s="5"/>
      <c r="Q407" s="5"/>
      <c r="R407" s="5"/>
      <c r="S407" s="5"/>
      <c r="T407" s="5"/>
      <c r="U407" s="5"/>
      <c r="Y407" s="5"/>
      <c r="Z407" s="5"/>
    </row>
    <row r="408" spans="1:26" ht="33" customHeight="1" x14ac:dyDescent="0.3">
      <c r="B408" s="181" t="s">
        <v>639</v>
      </c>
      <c r="C408" s="182"/>
      <c r="D408" s="182"/>
      <c r="E408" s="183"/>
      <c r="F408" s="182" t="s">
        <v>114</v>
      </c>
      <c r="G408" s="184"/>
      <c r="H408" s="184" t="s">
        <v>113</v>
      </c>
      <c r="I408" s="182"/>
      <c r="J408" s="182" t="s">
        <v>243</v>
      </c>
      <c r="K408" s="185"/>
      <c r="L408" s="185"/>
      <c r="M408" s="185"/>
    </row>
    <row r="409" spans="1:26" ht="16.2" thickBot="1" x14ac:dyDescent="0.35">
      <c r="B409" s="181"/>
      <c r="C409" s="182"/>
      <c r="D409" s="182"/>
      <c r="E409" s="183"/>
      <c r="F409" s="182"/>
      <c r="G409" s="184"/>
      <c r="H409" s="184"/>
      <c r="I409" s="182"/>
      <c r="J409" s="182"/>
      <c r="K409" s="185"/>
      <c r="L409" s="185"/>
      <c r="M409" s="185"/>
    </row>
    <row r="410" spans="1:26" ht="13.8" thickBot="1" x14ac:dyDescent="0.3">
      <c r="B410" s="182"/>
      <c r="C410" s="182" t="s">
        <v>697</v>
      </c>
      <c r="D410" s="185"/>
      <c r="E410" s="186"/>
      <c r="F410" s="74"/>
      <c r="G410" s="187" t="s">
        <v>279</v>
      </c>
      <c r="H410" s="74"/>
      <c r="I410" s="188" t="s">
        <v>280</v>
      </c>
      <c r="J410" s="185">
        <f>H410*F410</f>
        <v>0</v>
      </c>
      <c r="K410" s="188" t="s">
        <v>57</v>
      </c>
      <c r="L410" s="185"/>
      <c r="M410" s="185"/>
    </row>
    <row r="411" spans="1:26" ht="13.8" thickBot="1" x14ac:dyDescent="0.3">
      <c r="B411" s="182"/>
      <c r="C411" s="182" t="s">
        <v>698</v>
      </c>
      <c r="D411" s="188">
        <f>F430/2</f>
        <v>1</v>
      </c>
      <c r="E411" s="182" t="s">
        <v>282</v>
      </c>
      <c r="F411" s="74">
        <f>+D411*8</f>
        <v>8</v>
      </c>
      <c r="G411" s="184" t="s">
        <v>256</v>
      </c>
      <c r="H411" s="74">
        <v>0.83</v>
      </c>
      <c r="I411" s="188" t="s">
        <v>257</v>
      </c>
      <c r="J411" s="185">
        <f>H411*F411</f>
        <v>6.64</v>
      </c>
      <c r="K411" s="188" t="s">
        <v>57</v>
      </c>
      <c r="L411" s="185"/>
      <c r="M411" s="185"/>
    </row>
    <row r="412" spans="1:26" ht="13.8" thickBot="1" x14ac:dyDescent="0.3">
      <c r="B412" s="182"/>
      <c r="C412" s="182" t="s">
        <v>686</v>
      </c>
      <c r="D412" s="188">
        <f>D411</f>
        <v>1</v>
      </c>
      <c r="E412" s="182" t="s">
        <v>282</v>
      </c>
      <c r="F412" s="74">
        <v>11.88</v>
      </c>
      <c r="G412" s="184" t="s">
        <v>212</v>
      </c>
      <c r="H412" s="74">
        <v>4</v>
      </c>
      <c r="I412" s="188" t="s">
        <v>206</v>
      </c>
      <c r="J412" s="185">
        <f t="shared" ref="J412:J416" si="40">H412*F412</f>
        <v>47.52</v>
      </c>
      <c r="K412" s="188" t="s">
        <v>57</v>
      </c>
      <c r="L412" s="185"/>
      <c r="M412" s="185"/>
    </row>
    <row r="413" spans="1:26" ht="13.8" thickBot="1" x14ac:dyDescent="0.3">
      <c r="B413" s="182"/>
      <c r="C413" s="182" t="s">
        <v>284</v>
      </c>
      <c r="D413" s="185"/>
      <c r="E413" s="188"/>
      <c r="F413" s="74"/>
      <c r="G413" s="184" t="s">
        <v>256</v>
      </c>
      <c r="H413" s="74">
        <v>1.53</v>
      </c>
      <c r="I413" s="188" t="s">
        <v>257</v>
      </c>
      <c r="J413" s="185">
        <f t="shared" si="40"/>
        <v>0</v>
      </c>
      <c r="K413" s="188" t="s">
        <v>57</v>
      </c>
      <c r="L413" s="185"/>
      <c r="M413" s="185"/>
    </row>
    <row r="414" spans="1:26" ht="13.8" thickBot="1" x14ac:dyDescent="0.3">
      <c r="B414" s="182"/>
      <c r="C414" s="182" t="s">
        <v>285</v>
      </c>
      <c r="D414" s="185"/>
      <c r="E414" s="188"/>
      <c r="F414" s="74"/>
      <c r="G414" s="184" t="s">
        <v>256</v>
      </c>
      <c r="H414" s="74">
        <v>1.6</v>
      </c>
      <c r="I414" s="188" t="s">
        <v>257</v>
      </c>
      <c r="J414" s="185">
        <f t="shared" si="40"/>
        <v>0</v>
      </c>
      <c r="K414" s="188" t="s">
        <v>57</v>
      </c>
      <c r="L414" s="185"/>
      <c r="M414" s="185"/>
    </row>
    <row r="415" spans="1:26" ht="13.8" thickBot="1" x14ac:dyDescent="0.3">
      <c r="B415" s="182"/>
      <c r="C415" s="182" t="s">
        <v>286</v>
      </c>
      <c r="D415" s="185"/>
      <c r="E415" s="188"/>
      <c r="F415" s="74"/>
      <c r="G415" s="184"/>
      <c r="H415" s="74"/>
      <c r="I415" s="188"/>
      <c r="J415" s="185">
        <f t="shared" si="40"/>
        <v>0</v>
      </c>
      <c r="K415" s="188" t="s">
        <v>57</v>
      </c>
      <c r="L415" s="185"/>
      <c r="M415" s="185"/>
    </row>
    <row r="416" spans="1:26" ht="13.8" thickBot="1" x14ac:dyDescent="0.3">
      <c r="B416" s="185"/>
      <c r="C416" s="182" t="s">
        <v>286</v>
      </c>
      <c r="D416" s="185"/>
      <c r="E416" s="185"/>
      <c r="F416" s="74"/>
      <c r="G416" s="185"/>
      <c r="H416" s="74"/>
      <c r="I416" s="185"/>
      <c r="J416" s="185">
        <f t="shared" si="40"/>
        <v>0</v>
      </c>
      <c r="K416" s="188" t="s">
        <v>57</v>
      </c>
      <c r="L416" s="185"/>
      <c r="M416" s="185"/>
    </row>
    <row r="417" spans="1:26" x14ac:dyDescent="0.25">
      <c r="B417" s="207"/>
      <c r="C417" s="207" t="s">
        <v>54</v>
      </c>
      <c r="D417" s="207"/>
      <c r="E417" s="207"/>
      <c r="F417" s="207"/>
      <c r="G417" s="207"/>
      <c r="H417" s="207"/>
      <c r="I417" s="207"/>
      <c r="J417" s="207">
        <f>SUM(J410:J416)</f>
        <v>54.160000000000004</v>
      </c>
      <c r="K417" s="208" t="s">
        <v>57</v>
      </c>
      <c r="L417" s="207"/>
      <c r="M417" s="207"/>
    </row>
    <row r="418" spans="1:26" s="5" customFormat="1" x14ac:dyDescent="0.25">
      <c r="A418" s="356"/>
      <c r="B418" s="185"/>
      <c r="C418" s="185"/>
      <c r="D418" s="185"/>
      <c r="E418" s="185"/>
      <c r="F418" s="185"/>
      <c r="G418" s="185"/>
      <c r="H418" s="185"/>
      <c r="I418" s="185"/>
      <c r="J418" s="185"/>
      <c r="K418" s="185"/>
      <c r="L418" s="185"/>
      <c r="M418" s="185"/>
      <c r="N418"/>
      <c r="O418"/>
      <c r="P418"/>
      <c r="Q418"/>
      <c r="R418"/>
      <c r="S418"/>
      <c r="T418"/>
      <c r="U418"/>
      <c r="Y418"/>
      <c r="Z418"/>
    </row>
    <row r="419" spans="1:26" x14ac:dyDescent="0.25">
      <c r="N419" s="5"/>
      <c r="O419" s="5"/>
      <c r="P419" s="5"/>
      <c r="Q419" s="5"/>
      <c r="R419" s="5"/>
      <c r="S419" s="5"/>
      <c r="T419" s="5"/>
      <c r="U419" s="5"/>
      <c r="Y419" s="5"/>
      <c r="Z419" s="5"/>
    </row>
    <row r="420" spans="1:26" ht="40.200000000000003" customHeight="1" x14ac:dyDescent="0.3">
      <c r="B420" s="88" t="s">
        <v>640</v>
      </c>
      <c r="C420" s="79"/>
      <c r="D420" s="79"/>
      <c r="E420" s="79"/>
      <c r="F420" s="79"/>
      <c r="G420" s="79"/>
      <c r="H420" s="79"/>
      <c r="I420" s="79"/>
      <c r="J420" s="79"/>
      <c r="K420" s="79"/>
      <c r="L420" s="79"/>
      <c r="M420" s="79"/>
    </row>
    <row r="421" spans="1:26" ht="15.6" x14ac:dyDescent="0.3">
      <c r="B421" s="88"/>
      <c r="C421" s="79"/>
      <c r="D421" s="79"/>
      <c r="E421" s="79"/>
      <c r="F421" s="79"/>
      <c r="G421" s="79"/>
      <c r="H421" s="79"/>
      <c r="I421" s="79"/>
      <c r="J421" s="79"/>
      <c r="K421" s="79"/>
      <c r="L421" s="79"/>
      <c r="M421" s="79"/>
    </row>
    <row r="422" spans="1:26" ht="15" customHeight="1" x14ac:dyDescent="0.25">
      <c r="B422" s="1096" t="s">
        <v>699</v>
      </c>
      <c r="C422" s="1096"/>
      <c r="D422" s="1096"/>
      <c r="E422" s="1096"/>
      <c r="F422" s="1096"/>
      <c r="G422" s="1096"/>
      <c r="H422" s="1096"/>
      <c r="I422" s="1096"/>
      <c r="J422" s="1096"/>
      <c r="K422" s="1096"/>
      <c r="L422" s="1096"/>
      <c r="M422" s="1096"/>
    </row>
    <row r="423" spans="1:26" ht="37.950000000000003" customHeight="1" x14ac:dyDescent="0.3">
      <c r="B423" s="88"/>
      <c r="C423" s="79"/>
      <c r="D423" s="79"/>
      <c r="E423" s="83"/>
      <c r="F423" s="83"/>
      <c r="G423" s="83"/>
      <c r="H423" s="84"/>
      <c r="I423" s="84"/>
      <c r="J423" s="83"/>
      <c r="K423" s="83"/>
      <c r="L423" s="84"/>
      <c r="M423" s="84"/>
    </row>
    <row r="424" spans="1:26" ht="15.6" x14ac:dyDescent="0.3">
      <c r="B424" s="88"/>
      <c r="C424" s="79"/>
      <c r="D424" s="79"/>
      <c r="E424" s="1069" t="s">
        <v>290</v>
      </c>
      <c r="F424" s="1069"/>
      <c r="G424" s="1069"/>
      <c r="H424" s="1070" t="s">
        <v>113</v>
      </c>
      <c r="I424" s="1070"/>
      <c r="J424" s="1069" t="s">
        <v>291</v>
      </c>
      <c r="K424" s="1069"/>
      <c r="L424" s="1070" t="s">
        <v>113</v>
      </c>
      <c r="M424" s="1070"/>
    </row>
    <row r="425" spans="1:26" ht="15.6" thickBot="1" x14ac:dyDescent="0.3">
      <c r="B425" s="78"/>
      <c r="C425" s="79"/>
      <c r="D425" s="79"/>
      <c r="E425" s="79"/>
      <c r="F425" s="79"/>
      <c r="G425" s="79"/>
      <c r="H425" s="79"/>
      <c r="I425" s="79"/>
      <c r="J425" s="79"/>
      <c r="K425" s="79"/>
      <c r="L425" s="79"/>
      <c r="M425" s="79"/>
    </row>
    <row r="426" spans="1:26" ht="13.8" thickBot="1" x14ac:dyDescent="0.3">
      <c r="B426" s="79"/>
      <c r="C426" s="80" t="s">
        <v>303</v>
      </c>
      <c r="D426" s="79"/>
      <c r="E426" s="79"/>
      <c r="F426" s="91">
        <v>2</v>
      </c>
      <c r="G426" s="82" t="s">
        <v>293</v>
      </c>
      <c r="H426" s="90">
        <f t="shared" ref="H426:H429" si="41">$H$166</f>
        <v>14.5</v>
      </c>
      <c r="I426" s="82" t="s">
        <v>294</v>
      </c>
      <c r="J426" s="92"/>
      <c r="K426" s="82" t="s">
        <v>293</v>
      </c>
      <c r="L426" s="90">
        <f t="shared" ref="L426:L429" si="42">$L$166</f>
        <v>14.5</v>
      </c>
      <c r="M426" s="82" t="s">
        <v>294</v>
      </c>
    </row>
    <row r="427" spans="1:26" ht="13.8" thickBot="1" x14ac:dyDescent="0.3">
      <c r="B427" s="79"/>
      <c r="C427" s="80" t="s">
        <v>431</v>
      </c>
      <c r="D427" s="79"/>
      <c r="E427" s="79"/>
      <c r="F427" s="92"/>
      <c r="G427" s="82" t="s">
        <v>293</v>
      </c>
      <c r="H427" s="90">
        <f t="shared" si="41"/>
        <v>14.5</v>
      </c>
      <c r="I427" s="82" t="s">
        <v>294</v>
      </c>
      <c r="J427" s="75"/>
      <c r="K427" s="82" t="s">
        <v>293</v>
      </c>
      <c r="L427" s="90">
        <f t="shared" si="42"/>
        <v>14.5</v>
      </c>
      <c r="M427" s="82" t="s">
        <v>294</v>
      </c>
    </row>
    <row r="428" spans="1:26" ht="13.8" thickBot="1" x14ac:dyDescent="0.3">
      <c r="B428" s="79"/>
      <c r="C428" s="80" t="s">
        <v>431</v>
      </c>
      <c r="D428" s="79"/>
      <c r="E428" s="79"/>
      <c r="F428" s="92"/>
      <c r="G428" s="82" t="s">
        <v>293</v>
      </c>
      <c r="H428" s="90">
        <f t="shared" si="41"/>
        <v>14.5</v>
      </c>
      <c r="I428" s="82" t="s">
        <v>294</v>
      </c>
      <c r="J428" s="75"/>
      <c r="K428" s="82" t="s">
        <v>293</v>
      </c>
      <c r="L428" s="90">
        <f t="shared" si="42"/>
        <v>14.5</v>
      </c>
      <c r="M428" s="82" t="s">
        <v>294</v>
      </c>
    </row>
    <row r="429" spans="1:26" ht="13.8" thickBot="1" x14ac:dyDescent="0.3">
      <c r="B429" s="79"/>
      <c r="C429" s="80" t="s">
        <v>431</v>
      </c>
      <c r="D429" s="81"/>
      <c r="E429" s="81"/>
      <c r="F429" s="75"/>
      <c r="G429" s="82" t="s">
        <v>293</v>
      </c>
      <c r="H429" s="90">
        <f t="shared" si="41"/>
        <v>14.5</v>
      </c>
      <c r="I429" s="82" t="s">
        <v>294</v>
      </c>
      <c r="J429" s="75"/>
      <c r="K429" s="82" t="s">
        <v>293</v>
      </c>
      <c r="L429" s="90">
        <f t="shared" si="42"/>
        <v>14.5</v>
      </c>
      <c r="M429" s="82" t="s">
        <v>294</v>
      </c>
    </row>
    <row r="430" spans="1:26" x14ac:dyDescent="0.25">
      <c r="B430" s="209"/>
      <c r="C430" s="210" t="s">
        <v>54</v>
      </c>
      <c r="D430" s="211"/>
      <c r="E430" s="211"/>
      <c r="F430" s="212">
        <f>SUM(F426:F429)</f>
        <v>2</v>
      </c>
      <c r="G430" s="209" t="s">
        <v>293</v>
      </c>
      <c r="H430" s="213">
        <f>F430*H166</f>
        <v>29</v>
      </c>
      <c r="I430" s="209" t="s">
        <v>57</v>
      </c>
      <c r="J430" s="212">
        <f>SUM(J426:J429)</f>
        <v>0</v>
      </c>
      <c r="K430" s="209" t="s">
        <v>293</v>
      </c>
      <c r="L430" s="213">
        <f>J430*L166</f>
        <v>0</v>
      </c>
      <c r="M430" s="209" t="s">
        <v>57</v>
      </c>
    </row>
    <row r="431" spans="1:26" s="5" customFormat="1" x14ac:dyDescent="0.25">
      <c r="A431" s="356"/>
      <c r="B431"/>
      <c r="C431"/>
      <c r="D431"/>
      <c r="E431"/>
      <c r="F431"/>
      <c r="G431"/>
      <c r="H431"/>
      <c r="I431"/>
      <c r="J431"/>
      <c r="K431"/>
      <c r="L431"/>
      <c r="M431"/>
      <c r="N431"/>
      <c r="O431"/>
      <c r="P431"/>
      <c r="Q431"/>
      <c r="R431"/>
      <c r="S431"/>
      <c r="T431"/>
      <c r="U431"/>
      <c r="Y431"/>
      <c r="Z431"/>
    </row>
    <row r="432" spans="1:26" x14ac:dyDescent="0.25">
      <c r="N432" s="5"/>
      <c r="O432" s="5"/>
      <c r="P432" s="5"/>
      <c r="Q432" s="5"/>
      <c r="R432" s="5"/>
      <c r="S432" s="5"/>
      <c r="T432" s="5"/>
      <c r="U432" s="5"/>
      <c r="Y432" s="5"/>
      <c r="Z432" s="5"/>
    </row>
  </sheetData>
  <mergeCells count="110">
    <mergeCell ref="Q9:S9"/>
    <mergeCell ref="B363:M363"/>
    <mergeCell ref="B100:D100"/>
    <mergeCell ref="B54:E54"/>
    <mergeCell ref="T9:U9"/>
    <mergeCell ref="O18:Q18"/>
    <mergeCell ref="J299:K299"/>
    <mergeCell ref="B270:M270"/>
    <mergeCell ref="E272:G272"/>
    <mergeCell ref="H272:I272"/>
    <mergeCell ref="J272:K272"/>
    <mergeCell ref="L272:M272"/>
    <mergeCell ref="B288:E288"/>
    <mergeCell ref="F290:G290"/>
    <mergeCell ref="H290:I290"/>
    <mergeCell ref="J290:K290"/>
    <mergeCell ref="H196:I196"/>
    <mergeCell ref="J196:K196"/>
    <mergeCell ref="B183:E183"/>
    <mergeCell ref="B90:D90"/>
    <mergeCell ref="B102:D102"/>
    <mergeCell ref="B58:C58"/>
    <mergeCell ref="C61:D61"/>
    <mergeCell ref="B65:D65"/>
    <mergeCell ref="C68:D68"/>
    <mergeCell ref="B79:C79"/>
    <mergeCell ref="C82:D82"/>
    <mergeCell ref="B84:D84"/>
    <mergeCell ref="B87:D87"/>
    <mergeCell ref="B2:C2"/>
    <mergeCell ref="B4:L4"/>
    <mergeCell ref="B11:D11"/>
    <mergeCell ref="B14:D14"/>
    <mergeCell ref="B53:E53"/>
    <mergeCell ref="B23:D23"/>
    <mergeCell ref="B55:D55"/>
    <mergeCell ref="B72:D72"/>
    <mergeCell ref="C75:D75"/>
    <mergeCell ref="B104:E104"/>
    <mergeCell ref="F106:G106"/>
    <mergeCell ref="H106:I106"/>
    <mergeCell ref="J106:K106"/>
    <mergeCell ref="F117:G117"/>
    <mergeCell ref="H117:I117"/>
    <mergeCell ref="J117:K117"/>
    <mergeCell ref="F205:G205"/>
    <mergeCell ref="H205:I205"/>
    <mergeCell ref="J205:K205"/>
    <mergeCell ref="F185:G185"/>
    <mergeCell ref="H185:I185"/>
    <mergeCell ref="J185:K185"/>
    <mergeCell ref="F196:G196"/>
    <mergeCell ref="J183:L183"/>
    <mergeCell ref="J104:L104"/>
    <mergeCell ref="L164:M164"/>
    <mergeCell ref="F140:G140"/>
    <mergeCell ref="H140:I140"/>
    <mergeCell ref="J140:K140"/>
    <mergeCell ref="F126:G126"/>
    <mergeCell ref="H126:I126"/>
    <mergeCell ref="J126:K126"/>
    <mergeCell ref="B162:M162"/>
    <mergeCell ref="B422:M422"/>
    <mergeCell ref="E424:G424"/>
    <mergeCell ref="H424:I424"/>
    <mergeCell ref="J424:K424"/>
    <mergeCell ref="L424:M424"/>
    <mergeCell ref="H366:I366"/>
    <mergeCell ref="J366:K366"/>
    <mergeCell ref="L366:M366"/>
    <mergeCell ref="F321:G321"/>
    <mergeCell ref="H321:I321"/>
    <mergeCell ref="J321:K321"/>
    <mergeCell ref="F334:G334"/>
    <mergeCell ref="H334:I334"/>
    <mergeCell ref="J334:K334"/>
    <mergeCell ref="J382:L382"/>
    <mergeCell ref="F400:G400"/>
    <mergeCell ref="H400:I400"/>
    <mergeCell ref="J400:K400"/>
    <mergeCell ref="B382:E382"/>
    <mergeCell ref="B384:M384"/>
    <mergeCell ref="F386:G386"/>
    <mergeCell ref="H386:I386"/>
    <mergeCell ref="J386:K386"/>
    <mergeCell ref="F342:G342"/>
    <mergeCell ref="H342:I342"/>
    <mergeCell ref="J342:K342"/>
    <mergeCell ref="B364:M364"/>
    <mergeCell ref="E366:G366"/>
    <mergeCell ref="F313:G313"/>
    <mergeCell ref="H313:I313"/>
    <mergeCell ref="E164:G164"/>
    <mergeCell ref="H164:I164"/>
    <mergeCell ref="J164:K164"/>
    <mergeCell ref="J313:K313"/>
    <mergeCell ref="F248:G248"/>
    <mergeCell ref="H248:I248"/>
    <mergeCell ref="J248:K248"/>
    <mergeCell ref="F299:G299"/>
    <mergeCell ref="H299:I299"/>
    <mergeCell ref="F219:G219"/>
    <mergeCell ref="H219:I219"/>
    <mergeCell ref="J219:K219"/>
    <mergeCell ref="F227:G227"/>
    <mergeCell ref="H227:I227"/>
    <mergeCell ref="J227:K227"/>
    <mergeCell ref="F240:G240"/>
    <mergeCell ref="H240:I240"/>
    <mergeCell ref="J240:K240"/>
  </mergeCells>
  <hyperlinks>
    <hyperlink ref="B2" location="Tilakokonaisuus!A1" display="PALAA ETUSIVULLE" xr:uid="{B8D4B57B-95FB-0349-B043-74EB42C794EC}"/>
    <hyperlink ref="B2:C2" location="'Tilan tiedot'!A1" display="PALAA ETUSIVULLE" xr:uid="{B168301F-22DB-7C4D-B4D4-294B617BA531}"/>
    <hyperlink ref="B14" location="'Avomaan mansikka'!B41" display="PERUSTAMISVUODEN KUSTANNUKSET" xr:uid="{C8C6D5B3-787B-8946-BBC6-EED2B13BD5C3}"/>
    <hyperlink ref="B35" location="Buskblåbär!B255" display="SKÖRDEÅRENS KOSTNADER" xr:uid="{169AFD7F-1B07-4D4D-9F73-9CF6831ED49B}"/>
    <hyperlink ref="B46" location="Buskblåbär!B305" display="RÖJNINGSÅRETS KOSTNADER" xr:uid="{C220171B-EFB5-CB48-A2C8-8F46045CE9CB}"/>
    <hyperlink ref="B14:D14" location="Buskblåbär!B102" display="ETABLERINGSÅRETS KOSTNADER" xr:uid="{B023127C-9CCA-554D-BAF2-1EA6E537C3DC}"/>
    <hyperlink ref="B87" location="'Avomaan mansikka'!B41" display="PERUSTAMISVUODEN KUSTANNUKSET" xr:uid="{B7ECDFA6-C276-CD48-9ED5-F93F15A41B4B}"/>
    <hyperlink ref="B87:D87" location="Buskblåbär!H176" display="ETABLERINGSÅRETS KOSTNADER" xr:uid="{E249071C-F749-C44C-9FF7-B0082CC7E798}"/>
    <hyperlink ref="B53:E53" location="'Gårdens info'!B97" display="ALLMÄNNA KOSTNADER, buskblåbärens andel" xr:uid="{41B13138-3F30-B145-B9EF-ED970B62FA58}"/>
    <hyperlink ref="B58:C58" location="Omaisuus!B15" display="RAKENNUKSET" xr:uid="{4130DC4E-D1EB-B44A-862D-5D64F7F1E870}"/>
    <hyperlink ref="B65:D65" location="Omaisuus!B28" display="KONEET JA KALUSTO" xr:uid="{65E2C6F9-7397-BD4F-A74B-31541A1643F3}"/>
    <hyperlink ref="B72:D72" location="Omaisuus!B51" display="PIDEMPIAIKAISET TUOTANTOVÄLINEET" xr:uid="{EE3300AB-A62A-9C49-8105-EDE5A25B6F2D}"/>
    <hyperlink ref="B79:C79" location="Omaisuus!B70" display="SALAOJAT" xr:uid="{56127D9A-8FBB-B142-ADD6-90D88D43E091}"/>
    <hyperlink ref="B23" location="'Avomaan mansikka'!B41" display="PERUSTAMISVUODEN KUSTANNUKSET" xr:uid="{E7D7A7FE-0B28-4D4A-88AE-CCAC6D0A4FB7}"/>
    <hyperlink ref="B23:D23" location="Buskblåbär!B185" display="FÖRODLINGÅRETS KOSTNADER" xr:uid="{3720DB35-1A75-084F-9A0E-A3545CA7956D}"/>
    <hyperlink ref="B90" location="'Avomaan mansikka'!B41" display="PERUSTAMISVUODEN KUSTANNUKSET" xr:uid="{CD5B1DB4-F554-DB46-AAC6-DEF2473870F4}"/>
    <hyperlink ref="B90:D90" location="Buskblåbär!H249" display="FÖRODLINGSÅRETS KOSTNADER" xr:uid="{6F9DF54E-3CE2-034A-8DAD-C9A3A233459A}"/>
    <hyperlink ref="B93" location="Buskblåbär!H344" display="SKÖRDEÅRENS KOSTNADER" xr:uid="{591B8760-5273-CE4E-A3E7-629DC2BB315B}"/>
    <hyperlink ref="B96" location="Buskblåbär!H384" display="RÖJNINGSÅRETS KOSTNADER" xr:uid="{B653151D-B282-8D41-865F-09F1F6663C12}"/>
    <hyperlink ref="J288" location="Buskblåbär!A1" display="TILL SIDANS BÖRJAN" xr:uid="{3EA4833D-6124-B040-89EC-B3BF8FE4DD77}"/>
    <hyperlink ref="J382:L382" location="Buskblåbär!A1" display="TILL SIDANS BÖRJAN" xr:uid="{4B03A36E-6AF3-364C-A261-56BAB9F4293A}"/>
    <hyperlink ref="J183:L183" location="Buskblåbär!A1" display="TILL SIDANS BÖRJAN" xr:uid="{86E21578-AF60-2240-8CBA-C5F9FD646AA3}"/>
    <hyperlink ref="J104:L104" location="Buskblåbär!A1" display="TILL SIDANS BÖRJAN" xr:uid="{ADF7F081-7054-304F-B50F-1A65DC033DB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DDB33-4300-654C-9A85-54538EAF06FC}">
  <sheetPr>
    <tabColor rgb="FFFFFF00"/>
  </sheetPr>
  <dimension ref="A1:Z448"/>
  <sheetViews>
    <sheetView zoomScale="80" zoomScaleNormal="80" workbookViewId="0">
      <selection activeCell="F10" sqref="F10"/>
    </sheetView>
  </sheetViews>
  <sheetFormatPr defaultColWidth="11.44140625" defaultRowHeight="13.2" x14ac:dyDescent="0.25"/>
  <cols>
    <col min="1" max="1" width="5.33203125" style="101" customWidth="1"/>
    <col min="3" max="3" width="16.6640625" customWidth="1"/>
    <col min="4" max="4" width="22.6640625" customWidth="1"/>
    <col min="5" max="5" width="12.109375" bestFit="1" customWidth="1"/>
    <col min="7" max="7" width="6.33203125" customWidth="1"/>
    <col min="9" max="9" width="6" customWidth="1"/>
    <col min="10" max="10" width="15.109375" customWidth="1"/>
    <col min="11" max="11" width="9.6640625" customWidth="1"/>
    <col min="12" max="12" width="20" customWidth="1"/>
    <col min="13" max="13" width="12.109375" customWidth="1"/>
    <col min="27" max="27" width="19" customWidth="1"/>
  </cols>
  <sheetData>
    <row r="1" spans="1:21" s="101" customFormat="1" ht="22.8" x14ac:dyDescent="0.4">
      <c r="B1" s="312" t="s">
        <v>45</v>
      </c>
    </row>
    <row r="2" spans="1:21" ht="27" customHeight="1" x14ac:dyDescent="0.3">
      <c r="B2" s="1094" t="s">
        <v>201</v>
      </c>
      <c r="C2" s="1094"/>
    </row>
    <row r="3" spans="1:21" ht="27" customHeight="1" x14ac:dyDescent="0.3">
      <c r="B3" s="189"/>
      <c r="C3" s="189"/>
    </row>
    <row r="4" spans="1:21" ht="139.94999999999999" customHeight="1" x14ac:dyDescent="0.3">
      <c r="B4" s="1098" t="s">
        <v>548</v>
      </c>
      <c r="C4" s="1098"/>
      <c r="D4" s="1098"/>
      <c r="E4" s="1098"/>
      <c r="F4" s="1098"/>
      <c r="G4" s="1098"/>
      <c r="H4" s="1098"/>
      <c r="I4" s="1098"/>
      <c r="J4" s="1098"/>
      <c r="K4" s="1098"/>
      <c r="L4" s="1098"/>
    </row>
    <row r="5" spans="1:21" ht="27" customHeight="1" thickBot="1" x14ac:dyDescent="0.35">
      <c r="B5" s="189"/>
      <c r="C5" s="189"/>
    </row>
    <row r="6" spans="1:21" ht="27" customHeight="1" x14ac:dyDescent="0.4">
      <c r="B6" s="256" t="s">
        <v>781</v>
      </c>
      <c r="C6" s="221"/>
      <c r="D6" s="222"/>
      <c r="E6" s="222"/>
      <c r="F6" s="222"/>
      <c r="G6" s="222"/>
      <c r="H6" s="222"/>
      <c r="I6" s="222"/>
      <c r="J6" s="222"/>
      <c r="K6" s="222"/>
      <c r="L6" s="222"/>
      <c r="M6" s="223"/>
      <c r="N6" s="368"/>
      <c r="O6" s="222"/>
      <c r="P6" s="222"/>
      <c r="Q6" s="222"/>
      <c r="R6" s="222"/>
      <c r="S6" s="222"/>
      <c r="T6" s="222"/>
      <c r="U6" s="223"/>
    </row>
    <row r="7" spans="1:21" ht="27" customHeight="1" x14ac:dyDescent="0.4">
      <c r="B7" s="224"/>
      <c r="C7" s="225"/>
      <c r="D7" s="116"/>
      <c r="E7" s="116"/>
      <c r="F7" s="116"/>
      <c r="G7" s="116"/>
      <c r="H7" s="116"/>
      <c r="I7" s="116"/>
      <c r="J7" s="116"/>
      <c r="K7" s="116"/>
      <c r="L7" s="116"/>
      <c r="M7" s="226"/>
      <c r="N7" s="369"/>
      <c r="O7" s="116"/>
      <c r="P7" s="116"/>
      <c r="Q7" s="116"/>
      <c r="R7" s="116"/>
      <c r="S7" s="116"/>
      <c r="T7" s="116"/>
      <c r="U7" s="226"/>
    </row>
    <row r="8" spans="1:21" ht="21" x14ac:dyDescent="0.4">
      <c r="B8" s="257" t="s">
        <v>204</v>
      </c>
      <c r="C8" s="225"/>
      <c r="D8" s="116"/>
      <c r="E8" s="119"/>
      <c r="F8" s="119"/>
      <c r="G8" s="119"/>
      <c r="H8" s="119"/>
      <c r="I8" s="116"/>
      <c r="J8" s="116"/>
      <c r="K8" s="116"/>
      <c r="L8" s="116"/>
      <c r="M8" s="226"/>
      <c r="N8" s="257" t="s">
        <v>205</v>
      </c>
      <c r="O8" s="116"/>
      <c r="P8" s="116"/>
      <c r="Q8" s="116"/>
      <c r="R8" s="116"/>
      <c r="S8" s="116"/>
      <c r="T8" s="116"/>
      <c r="U8" s="239"/>
    </row>
    <row r="9" spans="1:21" ht="16.2" thickBot="1" x14ac:dyDescent="0.35">
      <c r="B9" s="227"/>
      <c r="C9" s="228" t="s">
        <v>205</v>
      </c>
      <c r="D9" s="119"/>
      <c r="E9" s="119"/>
      <c r="F9" s="229">
        <f>IF('Gårdens info'!D34&gt;0,H9*'Gårdens info'!G34,0)</f>
        <v>23233.333333333332</v>
      </c>
      <c r="G9" s="119" t="s">
        <v>57</v>
      </c>
      <c r="H9" s="508">
        <f>IF('Gårdens info'!G34&gt;0,(('Gårdens info'!G34*S10*T10)+('Gårdens info'!G34*S11*T11)+('Gårdens info'!G34*S12*T12)+('Gårdens info'!G34*S13*T13)+('Gårdens info'!G34*S14*T14)+('Gårdens info'!G34*S15*T15)+('Gårdens info'!G34*S16*T16)+('Gårdens info'!G34*S17*T17))/(('Gårdens info'!G34)),0)</f>
        <v>1.7</v>
      </c>
      <c r="I9" s="119" t="s">
        <v>206</v>
      </c>
      <c r="J9" s="229">
        <f>F9*'Gårdens info'!D34</f>
        <v>116166.66666666666</v>
      </c>
      <c r="K9" s="119" t="s">
        <v>782</v>
      </c>
      <c r="L9" s="119"/>
      <c r="M9" s="226"/>
      <c r="N9" s="369"/>
      <c r="O9" s="230" t="s">
        <v>208</v>
      </c>
      <c r="P9" s="230"/>
      <c r="Q9" s="1145" t="s">
        <v>209</v>
      </c>
      <c r="R9" s="1145"/>
      <c r="S9" s="1145"/>
      <c r="T9" s="1086" t="s">
        <v>210</v>
      </c>
      <c r="U9" s="1087"/>
    </row>
    <row r="10" spans="1:21" ht="15.6" thickBot="1" x14ac:dyDescent="0.3">
      <c r="B10" s="227"/>
      <c r="C10" s="119" t="s">
        <v>211</v>
      </c>
      <c r="D10" s="119"/>
      <c r="E10" s="119"/>
      <c r="F10" s="229">
        <f>IF('Gårdens info'!D34&gt;0,Stöd!L15,0)</f>
        <v>1027.0999999999999</v>
      </c>
      <c r="G10" s="119" t="s">
        <v>57</v>
      </c>
      <c r="H10" s="508">
        <f>IF('Gårdens info'!G34&gt;0,F10/'Gårdens info'!G34,0)</f>
        <v>7.5153658536585358E-2</v>
      </c>
      <c r="I10" s="119" t="s">
        <v>206</v>
      </c>
      <c r="J10" s="229">
        <f>F10*'Gårdens info'!D34</f>
        <v>5135.5</v>
      </c>
      <c r="K10" s="119" t="s">
        <v>782</v>
      </c>
      <c r="L10" s="119"/>
      <c r="M10" s="226"/>
      <c r="N10" s="369"/>
      <c r="O10" s="119">
        <v>1</v>
      </c>
      <c r="P10" s="119" t="s">
        <v>212</v>
      </c>
      <c r="Q10" s="119" t="s">
        <v>510</v>
      </c>
      <c r="R10" s="119"/>
      <c r="S10" s="377">
        <v>0.5</v>
      </c>
      <c r="T10" s="255">
        <v>1.7</v>
      </c>
      <c r="U10" s="239" t="s">
        <v>206</v>
      </c>
    </row>
    <row r="11" spans="1:21" s="5" customFormat="1" ht="21.6" customHeight="1" thickBot="1" x14ac:dyDescent="0.45">
      <c r="A11" s="305"/>
      <c r="B11" s="1061" t="s">
        <v>214</v>
      </c>
      <c r="C11" s="1043"/>
      <c r="D11" s="1043"/>
      <c r="E11" s="262"/>
      <c r="F11" s="266">
        <f>F9+F10</f>
        <v>24260.433333333331</v>
      </c>
      <c r="G11" s="267" t="s">
        <v>57</v>
      </c>
      <c r="H11" s="507">
        <f>H9+H10</f>
        <v>1.7751536585365852</v>
      </c>
      <c r="I11" s="267" t="s">
        <v>206</v>
      </c>
      <c r="J11" s="269">
        <f>J9+J10</f>
        <v>121302.16666666666</v>
      </c>
      <c r="K11" s="267" t="s">
        <v>782</v>
      </c>
      <c r="L11" s="267"/>
      <c r="M11" s="259"/>
      <c r="N11" s="370"/>
      <c r="O11" s="119">
        <v>5</v>
      </c>
      <c r="P11" s="119" t="s">
        <v>212</v>
      </c>
      <c r="Q11" s="119" t="s">
        <v>558</v>
      </c>
      <c r="R11" s="119"/>
      <c r="S11" s="379">
        <v>0</v>
      </c>
      <c r="T11" s="255"/>
      <c r="U11" s="239" t="s">
        <v>206</v>
      </c>
    </row>
    <row r="12" spans="1:21" ht="21" customHeight="1" thickBot="1" x14ac:dyDescent="0.35">
      <c r="B12" s="231"/>
      <c r="C12" s="225"/>
      <c r="D12" s="116"/>
      <c r="E12" s="116"/>
      <c r="F12" s="116"/>
      <c r="G12" s="116"/>
      <c r="H12" s="116"/>
      <c r="I12" s="116"/>
      <c r="J12" s="232"/>
      <c r="K12" s="116"/>
      <c r="L12" s="116"/>
      <c r="M12" s="226"/>
      <c r="N12" s="370"/>
      <c r="O12" s="119">
        <v>3</v>
      </c>
      <c r="P12" s="119" t="s">
        <v>212</v>
      </c>
      <c r="Q12" s="119" t="s">
        <v>213</v>
      </c>
      <c r="R12" s="119"/>
      <c r="S12" s="379">
        <v>0</v>
      </c>
      <c r="T12" s="255"/>
      <c r="U12" s="239" t="s">
        <v>206</v>
      </c>
    </row>
    <row r="13" spans="1:21" ht="21.6" thickBot="1" x14ac:dyDescent="0.45">
      <c r="B13" s="257" t="s">
        <v>186</v>
      </c>
      <c r="C13" s="225"/>
      <c r="D13" s="116"/>
      <c r="E13" s="116"/>
      <c r="F13" s="116"/>
      <c r="G13" s="116"/>
      <c r="H13" s="116"/>
      <c r="I13" s="116"/>
      <c r="J13" s="232"/>
      <c r="K13" s="116"/>
      <c r="L13" s="116"/>
      <c r="M13" s="226"/>
      <c r="N13" s="369"/>
      <c r="O13" s="119">
        <v>10</v>
      </c>
      <c r="P13" s="119" t="s">
        <v>212</v>
      </c>
      <c r="Q13" s="119" t="s">
        <v>558</v>
      </c>
      <c r="R13" s="119"/>
      <c r="S13" s="379">
        <v>0</v>
      </c>
      <c r="T13" s="255"/>
      <c r="U13" s="239" t="s">
        <v>206</v>
      </c>
    </row>
    <row r="14" spans="1:21" s="56" customFormat="1" ht="18" thickBot="1" x14ac:dyDescent="0.35">
      <c r="A14" s="306"/>
      <c r="B14" s="1148" t="s">
        <v>564</v>
      </c>
      <c r="C14" s="1149"/>
      <c r="D14" s="1149"/>
      <c r="E14" s="120"/>
      <c r="F14" s="120"/>
      <c r="G14" s="120"/>
      <c r="H14" s="120"/>
      <c r="I14" s="120"/>
      <c r="J14" s="233"/>
      <c r="K14" s="120"/>
      <c r="L14" s="120"/>
      <c r="M14" s="234"/>
      <c r="N14" s="369"/>
      <c r="O14" s="119">
        <v>0.5</v>
      </c>
      <c r="P14" s="119" t="s">
        <v>212</v>
      </c>
      <c r="Q14" s="119" t="s">
        <v>213</v>
      </c>
      <c r="R14" s="119"/>
      <c r="S14" s="379">
        <v>0.5</v>
      </c>
      <c r="T14" s="255">
        <v>1.7</v>
      </c>
      <c r="U14" s="239" t="s">
        <v>206</v>
      </c>
    </row>
    <row r="15" spans="1:21" s="69" customFormat="1" ht="15.6" thickBot="1" x14ac:dyDescent="0.3">
      <c r="A15" s="307"/>
      <c r="B15" s="235"/>
      <c r="C15" s="228" t="s">
        <v>566</v>
      </c>
      <c r="D15" s="236"/>
      <c r="E15" s="236"/>
      <c r="F15" s="237">
        <f>IF('Gårdens info'!$D$34&gt;0,J114/'Gårdens info'!$I$34,0)</f>
        <v>605.33333333333337</v>
      </c>
      <c r="G15" s="119" t="s">
        <v>57</v>
      </c>
      <c r="H15" s="503">
        <f>IF('Gårdens info'!$G$34&gt;0,F15/'Gårdens info'!$G$34,0)</f>
        <v>4.4292682926829273E-2</v>
      </c>
      <c r="I15" s="119" t="s">
        <v>206</v>
      </c>
      <c r="J15" s="237">
        <f>F15*'Gårdens info'!$D$34</f>
        <v>3026.666666666667</v>
      </c>
      <c r="K15" s="119" t="s">
        <v>782</v>
      </c>
      <c r="L15" s="236"/>
      <c r="M15" s="239"/>
      <c r="N15" s="369"/>
      <c r="O15" s="651">
        <f>D342</f>
        <v>0</v>
      </c>
      <c r="P15" s="119" t="s">
        <v>212</v>
      </c>
      <c r="Q15" s="119" t="s">
        <v>272</v>
      </c>
      <c r="R15" s="119"/>
      <c r="S15" s="379">
        <v>0</v>
      </c>
      <c r="T15" s="255"/>
      <c r="U15" s="239" t="s">
        <v>206</v>
      </c>
    </row>
    <row r="16" spans="1:21" s="69" customFormat="1" ht="15.6" thickBot="1" x14ac:dyDescent="0.3">
      <c r="A16" s="307"/>
      <c r="B16" s="235"/>
      <c r="C16" s="228" t="s">
        <v>219</v>
      </c>
      <c r="D16" s="236"/>
      <c r="E16" s="236"/>
      <c r="F16" s="237">
        <f>IF('Gårdens info'!$D$34&gt;0,J125/'Gårdens info'!$I$34,0)</f>
        <v>801.33333333333337</v>
      </c>
      <c r="G16" s="119" t="s">
        <v>57</v>
      </c>
      <c r="H16" s="503">
        <f>IF('Gårdens info'!$G$34&gt;0,F16/'Gårdens info'!$G$34,0)</f>
        <v>5.8634146341463418E-2</v>
      </c>
      <c r="I16" s="119" t="s">
        <v>206</v>
      </c>
      <c r="J16" s="237">
        <f>F16*'Gårdens info'!$D$34</f>
        <v>4006.666666666667</v>
      </c>
      <c r="K16" s="119" t="s">
        <v>782</v>
      </c>
      <c r="L16" s="236"/>
      <c r="M16" s="239"/>
      <c r="N16" s="369"/>
      <c r="O16" s="651">
        <f t="shared" ref="O16:O17" si="0">D343</f>
        <v>0</v>
      </c>
      <c r="P16" s="119" t="s">
        <v>212</v>
      </c>
      <c r="Q16" s="119" t="s">
        <v>272</v>
      </c>
      <c r="R16" s="119"/>
      <c r="S16" s="379">
        <v>0</v>
      </c>
      <c r="T16" s="255"/>
      <c r="U16" s="239" t="s">
        <v>206</v>
      </c>
    </row>
    <row r="17" spans="1:26" s="69" customFormat="1" ht="15.6" thickBot="1" x14ac:dyDescent="0.3">
      <c r="A17" s="307"/>
      <c r="B17" s="235"/>
      <c r="C17" s="228" t="s">
        <v>719</v>
      </c>
      <c r="D17" s="236"/>
      <c r="E17" s="236"/>
      <c r="F17" s="237">
        <f>IF('Gårdens info'!$D$34&gt;0,J139/'Gårdens info'!$I$34,0)</f>
        <v>3.6959999999999997</v>
      </c>
      <c r="G17" s="119" t="s">
        <v>57</v>
      </c>
      <c r="H17" s="503">
        <f>IF('Gårdens info'!$G$34&gt;0,F17/'Gårdens info'!$G$34,0)</f>
        <v>2.7043902439024387E-4</v>
      </c>
      <c r="I17" s="119" t="s">
        <v>206</v>
      </c>
      <c r="J17" s="237">
        <f>F17*'Gårdens info'!$D$34</f>
        <v>18.479999999999997</v>
      </c>
      <c r="K17" s="119" t="s">
        <v>782</v>
      </c>
      <c r="L17" s="236"/>
      <c r="M17" s="239"/>
      <c r="N17" s="369"/>
      <c r="O17" s="651">
        <f t="shared" si="0"/>
        <v>0</v>
      </c>
      <c r="P17" s="119" t="s">
        <v>212</v>
      </c>
      <c r="Q17" s="119" t="s">
        <v>272</v>
      </c>
      <c r="R17" s="119"/>
      <c r="S17" s="378">
        <v>0</v>
      </c>
      <c r="T17" s="255"/>
      <c r="U17" s="239" t="s">
        <v>206</v>
      </c>
    </row>
    <row r="18" spans="1:26" s="69" customFormat="1" ht="17.399999999999999" x14ac:dyDescent="0.3">
      <c r="A18" s="307"/>
      <c r="B18" s="235"/>
      <c r="C18" s="228" t="s">
        <v>568</v>
      </c>
      <c r="D18" s="236"/>
      <c r="E18" s="236"/>
      <c r="F18" s="237">
        <f>IF('Gårdens info'!$D$34&gt;0,J147/'Gårdens info'!$I$34,0)</f>
        <v>0</v>
      </c>
      <c r="G18" s="119" t="s">
        <v>57</v>
      </c>
      <c r="H18" s="503">
        <f>IF('Gårdens info'!$G$34&gt;0,F18/'Gårdens info'!$G$34,0)</f>
        <v>0</v>
      </c>
      <c r="I18" s="119" t="s">
        <v>206</v>
      </c>
      <c r="J18" s="237">
        <f>F18*'Gårdens info'!$D$34</f>
        <v>0</v>
      </c>
      <c r="K18" s="119" t="s">
        <v>782</v>
      </c>
      <c r="L18" s="236"/>
      <c r="M18" s="239"/>
      <c r="N18" s="371"/>
      <c r="O18" s="1088" t="s">
        <v>54</v>
      </c>
      <c r="P18" s="1088"/>
      <c r="Q18" s="1088"/>
      <c r="R18" s="120"/>
      <c r="S18" s="375">
        <f>SUM(S10:S17)</f>
        <v>1</v>
      </c>
      <c r="T18" s="120"/>
      <c r="U18" s="234"/>
    </row>
    <row r="19" spans="1:26" s="69" customFormat="1" ht="15.6" x14ac:dyDescent="0.3">
      <c r="A19" s="307"/>
      <c r="B19" s="235"/>
      <c r="C19" s="228" t="s">
        <v>224</v>
      </c>
      <c r="D19" s="236"/>
      <c r="E19" s="236"/>
      <c r="F19" s="237">
        <f>IF('Gårdens info'!$D$34&gt;0,J159/'Gårdens info'!$I$34,0)</f>
        <v>60.356533333333331</v>
      </c>
      <c r="G19" s="119" t="s">
        <v>57</v>
      </c>
      <c r="H19" s="503">
        <f>IF('Gårdens info'!$G$34&gt;0,F19/'Gårdens info'!$G$34,0)</f>
        <v>4.4163317073170729E-3</v>
      </c>
      <c r="I19" s="119" t="s">
        <v>206</v>
      </c>
      <c r="J19" s="237">
        <f>F19*'Gårdens info'!$D$34</f>
        <v>301.78266666666667</v>
      </c>
      <c r="K19" s="119" t="s">
        <v>782</v>
      </c>
      <c r="L19" s="236"/>
      <c r="M19" s="239"/>
      <c r="N19" s="227"/>
      <c r="O19" s="376" t="str">
        <f>IF(S18=100%," ","HUOM! Osuus myyynneistä pitää summautua 100 prosenttiin")</f>
        <v xml:space="preserve"> </v>
      </c>
      <c r="P19" s="119"/>
      <c r="R19" s="119"/>
      <c r="S19" s="119"/>
      <c r="T19" s="119"/>
      <c r="U19" s="239"/>
    </row>
    <row r="20" spans="1:26" s="69" customFormat="1" ht="15.6" thickBot="1" x14ac:dyDescent="0.3">
      <c r="A20" s="307"/>
      <c r="B20" s="235"/>
      <c r="C20" s="228" t="s">
        <v>570</v>
      </c>
      <c r="D20" s="236"/>
      <c r="E20" s="236"/>
      <c r="F20" s="237">
        <f>IF('Gårdens info'!$D$34&gt;0,L185/'Gårdens info'!$I$34,0)</f>
        <v>62.833333333333336</v>
      </c>
      <c r="G20" s="119" t="s">
        <v>57</v>
      </c>
      <c r="H20" s="503">
        <f>IF('Gårdens info'!$G$34&gt;0,F20/'Gårdens info'!$G$34,0)</f>
        <v>4.5975609756097567E-3</v>
      </c>
      <c r="I20" s="119" t="s">
        <v>206</v>
      </c>
      <c r="J20" s="237">
        <f>F20*'Gårdens info'!$D$34</f>
        <v>314.16666666666669</v>
      </c>
      <c r="K20" s="119" t="s">
        <v>782</v>
      </c>
      <c r="L20" s="236"/>
      <c r="M20" s="239"/>
      <c r="N20" s="372"/>
      <c r="O20" s="373"/>
      <c r="P20" s="373"/>
      <c r="Q20" s="373"/>
      <c r="R20" s="373"/>
      <c r="S20" s="373"/>
      <c r="T20" s="373"/>
      <c r="U20" s="374"/>
    </row>
    <row r="21" spans="1:26" s="69" customFormat="1" ht="15.6" x14ac:dyDescent="0.3">
      <c r="A21" s="307"/>
      <c r="B21" s="235"/>
      <c r="C21" s="240" t="s">
        <v>54</v>
      </c>
      <c r="D21" s="241"/>
      <c r="E21" s="241"/>
      <c r="F21" s="242">
        <f>SUM(F15:F20)</f>
        <v>1533.5525333333333</v>
      </c>
      <c r="G21" s="243" t="s">
        <v>57</v>
      </c>
      <c r="H21" s="504">
        <f>SUM(H15:H20)</f>
        <v>0.11221116097560976</v>
      </c>
      <c r="I21" s="243" t="s">
        <v>206</v>
      </c>
      <c r="J21" s="242">
        <f>SUM(J15:J20)</f>
        <v>7667.7626666666674</v>
      </c>
      <c r="K21" s="243" t="s">
        <v>782</v>
      </c>
      <c r="L21" s="241"/>
      <c r="M21" s="239"/>
    </row>
    <row r="22" spans="1:26" ht="17.399999999999999" x14ac:dyDescent="0.3">
      <c r="B22" s="231"/>
      <c r="C22" s="245"/>
      <c r="D22" s="246"/>
      <c r="E22" s="246"/>
      <c r="F22" s="247"/>
      <c r="G22" s="119"/>
      <c r="H22" s="246"/>
      <c r="I22" s="246"/>
      <c r="J22" s="246"/>
      <c r="K22" s="246"/>
      <c r="L22" s="246"/>
      <c r="M22" s="226"/>
      <c r="N22" s="69"/>
      <c r="O22" s="69"/>
      <c r="P22" s="69"/>
      <c r="Q22" s="69"/>
      <c r="R22" s="69"/>
      <c r="S22" s="69"/>
      <c r="T22" s="69"/>
      <c r="U22" s="69"/>
    </row>
    <row r="23" spans="1:26" s="56" customFormat="1" ht="17.399999999999999" x14ac:dyDescent="0.3">
      <c r="A23" s="306"/>
      <c r="B23" s="1148" t="s">
        <v>783</v>
      </c>
      <c r="C23" s="1149"/>
      <c r="D23" s="1149"/>
      <c r="E23" s="120"/>
      <c r="F23" s="120"/>
      <c r="G23" s="120"/>
      <c r="H23" s="120"/>
      <c r="I23" s="120"/>
      <c r="J23" s="233"/>
      <c r="K23" s="120"/>
      <c r="L23" s="120"/>
      <c r="M23" s="234"/>
      <c r="N23"/>
      <c r="O23"/>
      <c r="P23"/>
      <c r="Q23"/>
      <c r="R23"/>
      <c r="S23"/>
      <c r="T23"/>
      <c r="U23"/>
    </row>
    <row r="24" spans="1:26" s="69" customFormat="1" ht="17.399999999999999" x14ac:dyDescent="0.3">
      <c r="A24" s="307"/>
      <c r="B24" s="235"/>
      <c r="C24" s="228" t="s">
        <v>573</v>
      </c>
      <c r="D24" s="236"/>
      <c r="E24" s="236"/>
      <c r="F24" s="237">
        <f>IF('Gårdens info'!$D$34&gt;0,J197*'Gårdens info'!K34/'Gårdens info'!$I$34,0)</f>
        <v>68</v>
      </c>
      <c r="G24" s="119" t="s">
        <v>57</v>
      </c>
      <c r="H24" s="503">
        <f>IF('Gårdens info'!$G$34&gt;0,F24/'Gårdens info'!$G$34,0)</f>
        <v>4.9756097560975611E-3</v>
      </c>
      <c r="I24" s="119" t="s">
        <v>206</v>
      </c>
      <c r="J24" s="237">
        <f>F24*'Gårdens info'!$D$34</f>
        <v>340</v>
      </c>
      <c r="K24" s="119" t="s">
        <v>782</v>
      </c>
      <c r="L24" s="236"/>
      <c r="M24" s="239"/>
      <c r="N24" s="56"/>
      <c r="O24" s="56"/>
      <c r="P24" s="56"/>
      <c r="Q24" s="56"/>
      <c r="R24" s="56"/>
      <c r="S24" s="56"/>
      <c r="T24" s="56"/>
      <c r="U24" s="56"/>
    </row>
    <row r="25" spans="1:26" s="69" customFormat="1" ht="15" x14ac:dyDescent="0.25">
      <c r="A25" s="307"/>
      <c r="B25" s="235"/>
      <c r="C25" s="228" t="s">
        <v>219</v>
      </c>
      <c r="D25" s="236"/>
      <c r="E25" s="236"/>
      <c r="F25" s="237">
        <f>IF('Gårdens info'!$D$34&gt;0,J206*'Gårdens info'!K34/'Gårdens info'!$I$34,0)</f>
        <v>30.6</v>
      </c>
      <c r="G25" s="119" t="s">
        <v>57</v>
      </c>
      <c r="H25" s="503">
        <f>IF('Gårdens info'!$G$34&gt;0,F25/'Gårdens info'!$G$34,0)</f>
        <v>2.2390243902439028E-3</v>
      </c>
      <c r="I25" s="119" t="s">
        <v>206</v>
      </c>
      <c r="J25" s="237">
        <f>F25*'Gårdens info'!$D$34</f>
        <v>153</v>
      </c>
      <c r="K25" s="119" t="s">
        <v>782</v>
      </c>
      <c r="L25" s="236"/>
      <c r="M25" s="239"/>
    </row>
    <row r="26" spans="1:26" s="69" customFormat="1" ht="15" x14ac:dyDescent="0.25">
      <c r="A26" s="307"/>
      <c r="B26" s="235"/>
      <c r="C26" s="228" t="s">
        <v>404</v>
      </c>
      <c r="D26" s="236"/>
      <c r="E26" s="236"/>
      <c r="F26" s="237">
        <f>IF('Gårdens info'!$D$34&gt;0,J220*'Gårdens info'!K34/'Gårdens info'!$I$34,0)</f>
        <v>0</v>
      </c>
      <c r="G26" s="119" t="s">
        <v>57</v>
      </c>
      <c r="H26" s="503">
        <f>IF('Gårdens info'!$G$34&gt;0,F26/'Gårdens info'!$G$34,0)</f>
        <v>0</v>
      </c>
      <c r="I26" s="119" t="s">
        <v>206</v>
      </c>
      <c r="J26" s="237">
        <f>F26*'Gårdens info'!$D$34</f>
        <v>0</v>
      </c>
      <c r="K26" s="119" t="s">
        <v>782</v>
      </c>
      <c r="L26" s="236"/>
      <c r="M26" s="239"/>
    </row>
    <row r="27" spans="1:26" s="69" customFormat="1" ht="15" x14ac:dyDescent="0.25">
      <c r="A27" s="307"/>
      <c r="B27" s="235"/>
      <c r="C27" s="228" t="s">
        <v>574</v>
      </c>
      <c r="D27" s="236"/>
      <c r="E27" s="236"/>
      <c r="F27" s="237">
        <f>IF('Gårdens info'!$D$34&gt;0,J228*'Gårdens info'!K34/'Gårdens info'!$I$34,0)</f>
        <v>160</v>
      </c>
      <c r="G27" s="119" t="s">
        <v>57</v>
      </c>
      <c r="H27" s="503">
        <f>IF('Gårdens info'!$G$34&gt;0,F27/'Gårdens info'!$G$34,0)</f>
        <v>1.1707317073170732E-2</v>
      </c>
      <c r="I27" s="119" t="s">
        <v>206</v>
      </c>
      <c r="J27" s="237">
        <f>F27*'Gårdens info'!$D$34</f>
        <v>800</v>
      </c>
      <c r="K27" s="119" t="s">
        <v>782</v>
      </c>
      <c r="L27" s="236"/>
      <c r="M27" s="239"/>
    </row>
    <row r="28" spans="1:26" s="69" customFormat="1" ht="15" x14ac:dyDescent="0.25">
      <c r="A28" s="307"/>
      <c r="B28" s="235"/>
      <c r="C28" s="228" t="s">
        <v>575</v>
      </c>
      <c r="D28" s="236"/>
      <c r="E28" s="236"/>
      <c r="F28" s="237">
        <f>IF('Gårdens info'!$D$34&gt;0,J241*'Gårdens info'!K34/'Gårdens info'!$I$34,0)</f>
        <v>109.33333333333333</v>
      </c>
      <c r="G28" s="119" t="s">
        <v>57</v>
      </c>
      <c r="H28" s="503">
        <f>IF('Gårdens info'!$G$34&gt;0,F28/'Gårdens info'!$G$34,0)</f>
        <v>8.0000000000000002E-3</v>
      </c>
      <c r="I28" s="119" t="s">
        <v>206</v>
      </c>
      <c r="J28" s="237">
        <f>F28*'Gårdens info'!$D$34</f>
        <v>546.66666666666663</v>
      </c>
      <c r="K28" s="119" t="s">
        <v>782</v>
      </c>
      <c r="L28" s="236"/>
      <c r="M28" s="239"/>
    </row>
    <row r="29" spans="1:26" s="69" customFormat="1" ht="15" x14ac:dyDescent="0.25">
      <c r="A29" s="307"/>
      <c r="B29" s="235"/>
      <c r="C29" s="228" t="s">
        <v>576</v>
      </c>
      <c r="D29" s="236"/>
      <c r="E29" s="236"/>
      <c r="F29" s="237">
        <f>IF('Gårdens info'!$D$34&gt;0,J250*'Gårdens info'!K34/'Gårdens info'!$I$34,0)</f>
        <v>683.33333333333337</v>
      </c>
      <c r="G29" s="119" t="s">
        <v>57</v>
      </c>
      <c r="H29" s="503">
        <f>IF('Gårdens info'!$G$34&gt;0,F29/'Gårdens info'!$G$34,0)</f>
        <v>0.05</v>
      </c>
      <c r="I29" s="119" t="s">
        <v>206</v>
      </c>
      <c r="J29" s="237">
        <f>F29*'Gårdens info'!$D$34</f>
        <v>3416.666666666667</v>
      </c>
      <c r="K29" s="119" t="s">
        <v>782</v>
      </c>
      <c r="L29" s="236"/>
      <c r="M29" s="239"/>
    </row>
    <row r="30" spans="1:26" s="69" customFormat="1" ht="15" x14ac:dyDescent="0.25">
      <c r="A30" s="307"/>
      <c r="B30" s="235"/>
      <c r="C30" s="228" t="s">
        <v>568</v>
      </c>
      <c r="D30" s="236"/>
      <c r="E30" s="236"/>
      <c r="F30" s="237">
        <f>IF('Gårdens info'!$D$34&gt;0,J259*'Gårdens info'!K34/'Gårdens info'!$I$34,0)</f>
        <v>0</v>
      </c>
      <c r="G30" s="119" t="s">
        <v>57</v>
      </c>
      <c r="H30" s="503">
        <f>IF('Gårdens info'!$G$34&gt;0,F30/'Gårdens info'!$G$34,0)</f>
        <v>0</v>
      </c>
      <c r="I30" s="119" t="s">
        <v>206</v>
      </c>
      <c r="J30" s="237">
        <f>F30*'Gårdens info'!$D$34</f>
        <v>0</v>
      </c>
      <c r="K30" s="119" t="s">
        <v>782</v>
      </c>
      <c r="L30" s="236"/>
      <c r="M30" s="239"/>
      <c r="Y30" s="382" t="s">
        <v>219</v>
      </c>
      <c r="Z30" s="447">
        <f>F36</f>
        <v>260.10000000000002</v>
      </c>
    </row>
    <row r="31" spans="1:26" s="69" customFormat="1" ht="15" x14ac:dyDescent="0.25">
      <c r="A31" s="307"/>
      <c r="B31" s="235"/>
      <c r="C31" s="228" t="s">
        <v>224</v>
      </c>
      <c r="D31" s="236"/>
      <c r="E31" s="236"/>
      <c r="F31" s="237">
        <f>IF('Gårdens info'!$D$34&gt;0,J271*'Gårdens info'!K34/'Gårdens info'!$I$34,0)</f>
        <v>128.94559999999998</v>
      </c>
      <c r="G31" s="119" t="s">
        <v>57</v>
      </c>
      <c r="H31" s="503">
        <f>IF('Gårdens info'!$G$34&gt;0,F31/'Gårdens info'!$G$34,0)</f>
        <v>9.4350439024390234E-3</v>
      </c>
      <c r="I31" s="119" t="s">
        <v>206</v>
      </c>
      <c r="J31" s="237">
        <f>F31*'Gårdens info'!$D$34</f>
        <v>644.72799999999995</v>
      </c>
      <c r="K31" s="119" t="s">
        <v>782</v>
      </c>
      <c r="L31" s="236"/>
      <c r="M31" s="239"/>
      <c r="Y31" s="382" t="s">
        <v>220</v>
      </c>
      <c r="Z31" s="447">
        <f t="shared" ref="Z31:Z37" si="1">F37</f>
        <v>349.3</v>
      </c>
    </row>
    <row r="32" spans="1:26" s="69" customFormat="1" ht="15" x14ac:dyDescent="0.25">
      <c r="A32" s="307"/>
      <c r="B32" s="235"/>
      <c r="C32" s="228" t="s">
        <v>570</v>
      </c>
      <c r="D32" s="236"/>
      <c r="E32" s="236"/>
      <c r="F32" s="237">
        <f>IF('Gårdens info'!$D$34&gt;0,L296*'Gårdens info'!K34/'Gårdens info'!$I$34,0)</f>
        <v>29</v>
      </c>
      <c r="G32" s="119" t="s">
        <v>57</v>
      </c>
      <c r="H32" s="503">
        <f>IF('Gårdens info'!$G$34&gt;0,F32/'Gårdens info'!$G$34,0)</f>
        <v>2.1219512195121953E-3</v>
      </c>
      <c r="I32" s="119" t="s">
        <v>206</v>
      </c>
      <c r="J32" s="237">
        <f>F32*'Gårdens info'!$D$34</f>
        <v>145</v>
      </c>
      <c r="K32" s="119" t="s">
        <v>782</v>
      </c>
      <c r="L32" s="236"/>
      <c r="M32" s="239"/>
      <c r="Y32" s="382" t="s">
        <v>574</v>
      </c>
      <c r="Z32" s="447">
        <f t="shared" si="1"/>
        <v>800</v>
      </c>
    </row>
    <row r="33" spans="1:26" s="69" customFormat="1" ht="15.6" x14ac:dyDescent="0.3">
      <c r="A33" s="307"/>
      <c r="B33" s="235"/>
      <c r="C33" s="240" t="s">
        <v>54</v>
      </c>
      <c r="D33" s="241"/>
      <c r="E33" s="241"/>
      <c r="F33" s="242">
        <f>SUM(F24:F32)</f>
        <v>1209.2122666666667</v>
      </c>
      <c r="G33" s="243" t="s">
        <v>57</v>
      </c>
      <c r="H33" s="504">
        <f>SUM(H24:H32)</f>
        <v>8.8478946341463416E-2</v>
      </c>
      <c r="I33" s="243" t="s">
        <v>206</v>
      </c>
      <c r="J33" s="242">
        <f>SUM(J24:J32)</f>
        <v>6046.061333333334</v>
      </c>
      <c r="K33" s="243" t="s">
        <v>782</v>
      </c>
      <c r="L33" s="241"/>
      <c r="M33" s="239"/>
      <c r="Y33" s="382" t="s">
        <v>575</v>
      </c>
      <c r="Z33" s="447">
        <f t="shared" si="1"/>
        <v>546.66666666666663</v>
      </c>
    </row>
    <row r="34" spans="1:26" ht="17.399999999999999" x14ac:dyDescent="0.3">
      <c r="B34" s="231"/>
      <c r="C34" s="245"/>
      <c r="D34" s="246"/>
      <c r="E34" s="246"/>
      <c r="F34" s="247"/>
      <c r="G34" s="119"/>
      <c r="H34" s="246"/>
      <c r="I34" s="246"/>
      <c r="J34" s="246"/>
      <c r="K34" s="246"/>
      <c r="L34" s="246"/>
      <c r="M34" s="226"/>
      <c r="N34" s="69"/>
      <c r="O34" s="69"/>
      <c r="P34" s="69"/>
      <c r="Q34" s="69"/>
      <c r="R34" s="69"/>
      <c r="S34" s="69"/>
      <c r="T34" s="69"/>
      <c r="U34" s="69"/>
      <c r="Y34" s="381" t="s">
        <v>576</v>
      </c>
      <c r="Z34" s="447">
        <f t="shared" si="1"/>
        <v>3416.6666666666665</v>
      </c>
    </row>
    <row r="35" spans="1:26" s="56" customFormat="1" ht="17.399999999999999" x14ac:dyDescent="0.3">
      <c r="A35" s="306"/>
      <c r="B35" s="248" t="s">
        <v>240</v>
      </c>
      <c r="C35" s="245"/>
      <c r="D35" s="249"/>
      <c r="E35" s="249"/>
      <c r="F35" s="250"/>
      <c r="G35" s="120"/>
      <c r="H35" s="249"/>
      <c r="I35" s="249"/>
      <c r="J35" s="249"/>
      <c r="K35" s="249"/>
      <c r="L35" s="249"/>
      <c r="M35" s="234"/>
      <c r="N35"/>
      <c r="O35"/>
      <c r="P35"/>
      <c r="Q35"/>
      <c r="R35"/>
      <c r="S35"/>
      <c r="T35"/>
      <c r="U35"/>
      <c r="Y35" s="449" t="s">
        <v>568</v>
      </c>
      <c r="Z35" s="447">
        <f t="shared" si="1"/>
        <v>0</v>
      </c>
    </row>
    <row r="36" spans="1:26" s="69" customFormat="1" ht="17.399999999999999" x14ac:dyDescent="0.3">
      <c r="A36" s="307"/>
      <c r="B36" s="235"/>
      <c r="C36" s="228" t="s">
        <v>219</v>
      </c>
      <c r="D36" s="236"/>
      <c r="E36" s="236"/>
      <c r="F36" s="237">
        <f>IF('Gårdens info'!D34&gt;0,J306,0)</f>
        <v>260.10000000000002</v>
      </c>
      <c r="G36" s="119" t="s">
        <v>57</v>
      </c>
      <c r="H36" s="503">
        <f>IF('Gårdens info'!$G$34&gt;0,F36/'Gårdens info'!$G$34,0)</f>
        <v>1.9031707317073172E-2</v>
      </c>
      <c r="I36" s="119" t="s">
        <v>206</v>
      </c>
      <c r="J36" s="237">
        <f>F36*'Gårdens info'!$D$34</f>
        <v>1300.5</v>
      </c>
      <c r="K36" s="119" t="s">
        <v>782</v>
      </c>
      <c r="L36" s="236"/>
      <c r="M36" s="239"/>
      <c r="N36" s="56"/>
      <c r="O36" s="56"/>
      <c r="P36" s="56"/>
      <c r="Q36" s="56"/>
      <c r="R36" s="56"/>
      <c r="S36" s="56"/>
      <c r="T36" s="56"/>
      <c r="U36" s="56"/>
      <c r="Y36" s="382" t="s">
        <v>224</v>
      </c>
      <c r="Z36" s="447">
        <f t="shared" si="1"/>
        <v>1118.7279999999998</v>
      </c>
    </row>
    <row r="37" spans="1:26" s="69" customFormat="1" ht="15" x14ac:dyDescent="0.25">
      <c r="A37" s="307"/>
      <c r="B37" s="235"/>
      <c r="C37" s="228" t="s">
        <v>220</v>
      </c>
      <c r="D37" s="236"/>
      <c r="E37" s="236"/>
      <c r="F37" s="237">
        <f>IF('Gårdens info'!D34&gt;0,J324,0)</f>
        <v>349.3</v>
      </c>
      <c r="G37" s="119" t="s">
        <v>57</v>
      </c>
      <c r="H37" s="503">
        <f>IF('Gårdens info'!$G$34&gt;0,F37/'Gårdens info'!$G$34,0)</f>
        <v>2.5558536585365856E-2</v>
      </c>
      <c r="I37" s="119" t="s">
        <v>206</v>
      </c>
      <c r="J37" s="237">
        <f>F37*'Gårdens info'!$D$34</f>
        <v>1746.5</v>
      </c>
      <c r="K37" s="119" t="s">
        <v>782</v>
      </c>
      <c r="L37" s="236"/>
      <c r="M37" s="239"/>
      <c r="Y37" s="382" t="s">
        <v>225</v>
      </c>
      <c r="Z37" s="447">
        <f t="shared" si="1"/>
        <v>34891.666666666664</v>
      </c>
    </row>
    <row r="38" spans="1:26" s="69" customFormat="1" ht="15" x14ac:dyDescent="0.25">
      <c r="A38" s="307"/>
      <c r="B38" s="235"/>
      <c r="C38" s="228" t="s">
        <v>574</v>
      </c>
      <c r="D38" s="236"/>
      <c r="E38" s="236"/>
      <c r="F38" s="237">
        <f>IF('Gårdens info'!D34&gt;0,J332,0)</f>
        <v>800</v>
      </c>
      <c r="G38" s="119" t="s">
        <v>57</v>
      </c>
      <c r="H38" s="503">
        <f>IF('Gårdens info'!$G$34&gt;0,F38/'Gårdens info'!$G$34,0)</f>
        <v>5.8536585365853662E-2</v>
      </c>
      <c r="I38" s="119" t="s">
        <v>206</v>
      </c>
      <c r="J38" s="237">
        <f>F38*'Gårdens info'!$D$34</f>
        <v>4000</v>
      </c>
      <c r="K38" s="119" t="s">
        <v>782</v>
      </c>
      <c r="L38" s="236"/>
      <c r="M38" s="239"/>
      <c r="Y38" s="384" t="s">
        <v>538</v>
      </c>
      <c r="Z38" s="450">
        <f>F53</f>
        <v>238.2978723404255</v>
      </c>
    </row>
    <row r="39" spans="1:26" s="69" customFormat="1" ht="15" x14ac:dyDescent="0.25">
      <c r="A39" s="307"/>
      <c r="B39" s="235"/>
      <c r="C39" s="228" t="s">
        <v>575</v>
      </c>
      <c r="D39" s="236"/>
      <c r="E39" s="236"/>
      <c r="F39" s="237">
        <f>IF('Gårdens info'!D34&gt;0,J345,0)</f>
        <v>546.66666666666663</v>
      </c>
      <c r="G39" s="119" t="s">
        <v>57</v>
      </c>
      <c r="H39" s="503">
        <f>IF('Gårdens info'!$G$34&gt;0,F39/'Gårdens info'!$G$34,0)</f>
        <v>0.04</v>
      </c>
      <c r="I39" s="119" t="s">
        <v>206</v>
      </c>
      <c r="J39" s="237">
        <f>F39*'Gårdens info'!$D$34</f>
        <v>2733.333333333333</v>
      </c>
      <c r="K39" s="119" t="s">
        <v>782</v>
      </c>
      <c r="L39" s="236"/>
      <c r="M39" s="239"/>
      <c r="Y39" s="382" t="s">
        <v>482</v>
      </c>
      <c r="Z39" s="450">
        <f>F54</f>
        <v>187.2340425531915</v>
      </c>
    </row>
    <row r="40" spans="1:26" s="69" customFormat="1" ht="15" x14ac:dyDescent="0.25">
      <c r="A40" s="307"/>
      <c r="B40" s="235"/>
      <c r="C40" s="228" t="s">
        <v>576</v>
      </c>
      <c r="D40" s="236"/>
      <c r="E40" s="236"/>
      <c r="F40" s="237">
        <f>IF('Gårdens info'!D34&gt;0,J353,0)</f>
        <v>3416.6666666666665</v>
      </c>
      <c r="G40" s="119" t="s">
        <v>57</v>
      </c>
      <c r="H40" s="503">
        <f>IF('Gårdens info'!$G$34&gt;0,F40/'Gårdens info'!$G$34,0)</f>
        <v>0.25</v>
      </c>
      <c r="I40" s="119" t="s">
        <v>206</v>
      </c>
      <c r="J40" s="237">
        <f>F40*'Gårdens info'!$D$34</f>
        <v>17083.333333333332</v>
      </c>
      <c r="K40" s="119" t="s">
        <v>782</v>
      </c>
      <c r="L40" s="236"/>
      <c r="M40" s="239"/>
      <c r="Y40" s="382" t="s">
        <v>235</v>
      </c>
      <c r="Z40" s="451">
        <f>F63</f>
        <v>611.92639447958607</v>
      </c>
    </row>
    <row r="41" spans="1:26" s="69" customFormat="1" ht="15" x14ac:dyDescent="0.25">
      <c r="A41" s="307"/>
      <c r="B41" s="235"/>
      <c r="C41" s="228" t="s">
        <v>568</v>
      </c>
      <c r="D41" s="236"/>
      <c r="E41" s="236"/>
      <c r="F41" s="237">
        <f>IF('Gårdens info'!D34&gt;0,J361,0)</f>
        <v>0</v>
      </c>
      <c r="G41" s="119" t="s">
        <v>57</v>
      </c>
      <c r="H41" s="503">
        <f>IF('Gårdens info'!$G$34&gt;0,F41/'Gårdens info'!$G$34,0)</f>
        <v>0</v>
      </c>
      <c r="I41" s="119" t="s">
        <v>206</v>
      </c>
      <c r="J41" s="237">
        <f>F41*'Gårdens info'!$D$34</f>
        <v>0</v>
      </c>
      <c r="K41" s="119" t="s">
        <v>782</v>
      </c>
      <c r="L41" s="236"/>
      <c r="M41" s="239"/>
      <c r="Y41" s="382" t="s">
        <v>236</v>
      </c>
      <c r="Z41" s="451">
        <f>F70</f>
        <v>391.26028368794329</v>
      </c>
    </row>
    <row r="42" spans="1:26" s="69" customFormat="1" ht="15" x14ac:dyDescent="0.25">
      <c r="A42" s="307"/>
      <c r="B42" s="235"/>
      <c r="C42" s="228" t="s">
        <v>224</v>
      </c>
      <c r="D42" s="236"/>
      <c r="E42" s="236"/>
      <c r="F42" s="237">
        <f>IF('Gårdens info'!D34&gt;0,J373,0)</f>
        <v>1118.7279999999998</v>
      </c>
      <c r="G42" s="119" t="s">
        <v>57</v>
      </c>
      <c r="H42" s="503">
        <f>IF('Gårdens info'!$G$34&gt;0,F42/'Gårdens info'!$G$34,0)</f>
        <v>8.1858146341463406E-2</v>
      </c>
      <c r="I42" s="119" t="s">
        <v>206</v>
      </c>
      <c r="J42" s="237">
        <f>F42*'Gårdens info'!$D$34</f>
        <v>5593.6399999999994</v>
      </c>
      <c r="K42" s="119" t="s">
        <v>782</v>
      </c>
      <c r="L42" s="236"/>
      <c r="M42" s="239"/>
      <c r="Y42" s="382" t="s">
        <v>237</v>
      </c>
      <c r="Z42" s="451">
        <f>F77</f>
        <v>96.109189189189181</v>
      </c>
    </row>
    <row r="43" spans="1:26" s="69" customFormat="1" ht="15" x14ac:dyDescent="0.25">
      <c r="A43" s="307"/>
      <c r="B43" s="235"/>
      <c r="C43" s="228" t="s">
        <v>570</v>
      </c>
      <c r="D43" s="236"/>
      <c r="E43" s="236"/>
      <c r="F43" s="237">
        <f>IF('Gårdens info'!D34&gt;0,L396,0)</f>
        <v>34891.666666666664</v>
      </c>
      <c r="G43" s="119" t="s">
        <v>57</v>
      </c>
      <c r="H43" s="503">
        <f>IF('Gårdens info'!$G$34&gt;0,F43/'Gårdens info'!$G$34,0)</f>
        <v>2.5530487804878046</v>
      </c>
      <c r="I43" s="119" t="s">
        <v>206</v>
      </c>
      <c r="J43" s="237">
        <f>F43*'Gårdens info'!$D$34</f>
        <v>174458.33333333331</v>
      </c>
      <c r="K43" s="119" t="s">
        <v>782</v>
      </c>
      <c r="L43" s="236"/>
      <c r="M43" s="239"/>
      <c r="Y43" s="382" t="s">
        <v>141</v>
      </c>
      <c r="Z43" s="451">
        <f>F83</f>
        <v>14.285714285714286</v>
      </c>
    </row>
    <row r="44" spans="1:26" s="192" customFormat="1" ht="15.6" x14ac:dyDescent="0.3">
      <c r="A44" s="308"/>
      <c r="B44" s="251"/>
      <c r="C44" s="240" t="s">
        <v>54</v>
      </c>
      <c r="D44" s="241"/>
      <c r="E44" s="241"/>
      <c r="F44" s="242">
        <f>SUM(F36:F43)</f>
        <v>41383.127999999997</v>
      </c>
      <c r="G44" s="243" t="s">
        <v>57</v>
      </c>
      <c r="H44" s="504">
        <f>SUM(H36:H43)</f>
        <v>3.0280337560975608</v>
      </c>
      <c r="I44" s="243" t="s">
        <v>206</v>
      </c>
      <c r="J44" s="242">
        <f>SUM(J36:J43)</f>
        <v>206915.63999999998</v>
      </c>
      <c r="K44" s="243" t="s">
        <v>782</v>
      </c>
      <c r="L44" s="241"/>
      <c r="M44" s="252"/>
      <c r="N44" s="69"/>
      <c r="O44" s="69"/>
      <c r="P44" s="69"/>
      <c r="Q44" s="69"/>
      <c r="R44" s="69"/>
      <c r="S44" s="69"/>
      <c r="T44" s="69"/>
      <c r="U44" s="69"/>
      <c r="Y44" s="382" t="s">
        <v>192</v>
      </c>
      <c r="Z44" s="451">
        <f>F94</f>
        <v>2349</v>
      </c>
    </row>
    <row r="45" spans="1:26" ht="17.399999999999999" x14ac:dyDescent="0.3">
      <c r="B45" s="231"/>
      <c r="C45" s="245"/>
      <c r="D45" s="246"/>
      <c r="E45" s="246"/>
      <c r="F45" s="247"/>
      <c r="G45" s="119"/>
      <c r="H45" s="246"/>
      <c r="I45" s="246"/>
      <c r="J45" s="246"/>
      <c r="K45" s="246"/>
      <c r="L45" s="246"/>
      <c r="M45" s="226"/>
      <c r="N45" s="192"/>
      <c r="O45" s="192"/>
      <c r="P45" s="192"/>
      <c r="Q45" s="192"/>
      <c r="R45" s="192"/>
      <c r="S45" s="192"/>
      <c r="T45" s="192"/>
      <c r="U45" s="192"/>
      <c r="Y45" s="192"/>
      <c r="Z45" s="192"/>
    </row>
    <row r="46" spans="1:26" ht="17.399999999999999" x14ac:dyDescent="0.3">
      <c r="B46" s="952" t="s">
        <v>581</v>
      </c>
      <c r="C46" s="245"/>
      <c r="D46" s="246"/>
      <c r="E46" s="246"/>
      <c r="F46" s="246"/>
      <c r="G46" s="246"/>
      <c r="H46" s="246"/>
      <c r="I46" s="246"/>
      <c r="J46" s="246"/>
      <c r="K46" s="246"/>
      <c r="L46" s="246"/>
      <c r="M46" s="226"/>
    </row>
    <row r="47" spans="1:26" ht="17.399999999999999" x14ac:dyDescent="0.3">
      <c r="B47" s="231"/>
      <c r="C47" s="228" t="s">
        <v>220</v>
      </c>
      <c r="D47" s="236"/>
      <c r="E47" s="236"/>
      <c r="F47" s="237">
        <f>IF('Gårdens info'!D34&gt;0,J413/'Gårdens info'!I34,0)</f>
        <v>3.6959999999999997</v>
      </c>
      <c r="G47" s="119" t="s">
        <v>57</v>
      </c>
      <c r="H47" s="503">
        <f>IF('Gårdens info'!$G$34&gt;0,F47/'Gårdens info'!$G$34,0)</f>
        <v>2.7043902439024387E-4</v>
      </c>
      <c r="I47" s="119" t="s">
        <v>206</v>
      </c>
      <c r="J47" s="237">
        <f>F47*'Gårdens info'!$D$34</f>
        <v>18.479999999999997</v>
      </c>
      <c r="K47" s="119" t="s">
        <v>782</v>
      </c>
      <c r="L47" s="246"/>
      <c r="M47" s="226"/>
    </row>
    <row r="48" spans="1:26" s="69" customFormat="1" ht="15" x14ac:dyDescent="0.25">
      <c r="A48" s="307"/>
      <c r="B48" s="235"/>
      <c r="C48" s="228" t="s">
        <v>568</v>
      </c>
      <c r="D48" s="236"/>
      <c r="E48" s="236"/>
      <c r="F48" s="237">
        <f>IF('Gårdens info'!D34&gt;0,J421/'Gårdens info'!I34,0)</f>
        <v>8.2666666666666675</v>
      </c>
      <c r="G48" s="119" t="s">
        <v>57</v>
      </c>
      <c r="H48" s="503">
        <f>IF('Gårdens info'!$G$34&gt;0,F48/'Gårdens info'!$G$34,0)</f>
        <v>6.0487804878048789E-4</v>
      </c>
      <c r="I48" s="119" t="s">
        <v>206</v>
      </c>
      <c r="J48" s="237">
        <f>F48*'Gårdens info'!$D$34</f>
        <v>41.333333333333336</v>
      </c>
      <c r="K48" s="119" t="s">
        <v>782</v>
      </c>
      <c r="L48" s="236"/>
      <c r="M48" s="239"/>
      <c r="N48"/>
      <c r="O48"/>
      <c r="P48"/>
      <c r="Q48"/>
      <c r="R48"/>
      <c r="S48"/>
      <c r="T48"/>
      <c r="U48"/>
      <c r="Y48"/>
      <c r="Z48"/>
    </row>
    <row r="49" spans="1:26" s="69" customFormat="1" ht="15" x14ac:dyDescent="0.25">
      <c r="A49" s="307"/>
      <c r="B49" s="235"/>
      <c r="C49" s="228" t="s">
        <v>224</v>
      </c>
      <c r="D49" s="236"/>
      <c r="E49" s="236"/>
      <c r="F49" s="237">
        <f>IF('Gårdens info'!D34&gt;0,J433/'Gårdens info'!I34,0)</f>
        <v>3.6106666666666669</v>
      </c>
      <c r="G49" s="119" t="s">
        <v>57</v>
      </c>
      <c r="H49" s="503">
        <f>IF('Gårdens info'!$G$34&gt;0,F49/'Gårdens info'!$G$34,0)</f>
        <v>2.6419512195121952E-4</v>
      </c>
      <c r="I49" s="119" t="s">
        <v>206</v>
      </c>
      <c r="J49" s="237">
        <f>F49*'Gårdens info'!$D$34</f>
        <v>18.053333333333335</v>
      </c>
      <c r="K49" s="119" t="s">
        <v>782</v>
      </c>
      <c r="L49" s="236"/>
      <c r="M49" s="239"/>
    </row>
    <row r="50" spans="1:26" s="69" customFormat="1" ht="15" x14ac:dyDescent="0.25">
      <c r="A50" s="307"/>
      <c r="B50" s="235"/>
      <c r="C50" s="228" t="s">
        <v>570</v>
      </c>
      <c r="D50" s="236"/>
      <c r="E50" s="236"/>
      <c r="F50" s="237">
        <f>IF('Gårdens info'!D34&gt;0,L446/'Gårdens info'!I34,0)</f>
        <v>0</v>
      </c>
      <c r="G50" s="119" t="s">
        <v>57</v>
      </c>
      <c r="H50" s="503">
        <f>IF('Gårdens info'!$G$34&gt;0,F50/'Gårdens info'!$G$34,0)</f>
        <v>0</v>
      </c>
      <c r="I50" s="119" t="s">
        <v>206</v>
      </c>
      <c r="J50" s="237">
        <f>F50*'Gårdens info'!$D$34</f>
        <v>0</v>
      </c>
      <c r="K50" s="119" t="s">
        <v>782</v>
      </c>
      <c r="L50" s="236"/>
      <c r="M50" s="239"/>
    </row>
    <row r="51" spans="1:26" s="5" customFormat="1" ht="15.6" x14ac:dyDescent="0.3">
      <c r="A51" s="305"/>
      <c r="B51" s="286"/>
      <c r="C51" s="262" t="s">
        <v>54</v>
      </c>
      <c r="D51" s="262"/>
      <c r="E51" s="262"/>
      <c r="F51" s="263">
        <f>SUM(F47:F50)</f>
        <v>15.573333333333334</v>
      </c>
      <c r="G51" s="243" t="s">
        <v>57</v>
      </c>
      <c r="H51" s="506">
        <f>SUM(H47:H50)</f>
        <v>1.1395121951219512E-3</v>
      </c>
      <c r="I51" s="243" t="s">
        <v>206</v>
      </c>
      <c r="J51" s="258">
        <f>SUM(J47:J50)</f>
        <v>77.866666666666674</v>
      </c>
      <c r="K51" s="243" t="s">
        <v>782</v>
      </c>
      <c r="L51" s="265"/>
      <c r="M51" s="259"/>
      <c r="N51" s="69"/>
      <c r="O51" s="69"/>
      <c r="P51" s="69"/>
      <c r="Q51" s="69"/>
      <c r="R51" s="69"/>
      <c r="S51" s="69"/>
      <c r="T51" s="69"/>
      <c r="U51" s="69"/>
      <c r="Y51" s="69"/>
      <c r="Z51" s="69"/>
    </row>
    <row r="52" spans="1:26" s="5" customFormat="1" ht="15.6" x14ac:dyDescent="0.3">
      <c r="A52" s="305"/>
      <c r="B52" s="286"/>
      <c r="C52" s="262"/>
      <c r="D52" s="262"/>
      <c r="E52" s="262"/>
      <c r="F52" s="263"/>
      <c r="G52" s="243"/>
      <c r="H52" s="264"/>
      <c r="I52" s="243"/>
      <c r="J52" s="258"/>
      <c r="K52" s="243"/>
      <c r="L52" s="265"/>
      <c r="M52" s="259"/>
    </row>
    <row r="53" spans="1:26" s="5" customFormat="1" ht="17.399999999999999" x14ac:dyDescent="0.3">
      <c r="A53" s="305"/>
      <c r="B53" s="1081" t="s">
        <v>784</v>
      </c>
      <c r="C53" s="1082"/>
      <c r="D53" s="1082"/>
      <c r="E53" s="1082"/>
      <c r="F53" s="263">
        <f>IF('Gårdens info'!D34&gt;0,J53/'Gårdens info'!D34,0)</f>
        <v>238.2978723404255</v>
      </c>
      <c r="G53" s="243" t="s">
        <v>57</v>
      </c>
      <c r="H53" s="506">
        <f>IF('Gårdens info'!G34&gt;0,F53/'Gårdens info'!G34,0)</f>
        <v>1.7436429683445769E-2</v>
      </c>
      <c r="I53" s="243" t="s">
        <v>206</v>
      </c>
      <c r="J53" s="258">
        <f>'Gårdens info'!G163/'Gårdens info'!D43*'Gårdens info'!D34</f>
        <v>1191.4893617021276</v>
      </c>
      <c r="K53" s="243" t="s">
        <v>782</v>
      </c>
      <c r="L53" s="265"/>
      <c r="M53" s="259"/>
    </row>
    <row r="54" spans="1:26" s="5" customFormat="1" ht="17.399999999999999" x14ac:dyDescent="0.3">
      <c r="A54" s="305"/>
      <c r="B54" s="1091" t="s">
        <v>785</v>
      </c>
      <c r="C54" s="1092"/>
      <c r="D54" s="1092"/>
      <c r="E54" s="1092"/>
      <c r="F54" s="263">
        <f>IF('Gårdens info'!D34&gt;0,J54/'Gårdens info'!D34,0)</f>
        <v>187.2340425531915</v>
      </c>
      <c r="G54" s="243" t="s">
        <v>57</v>
      </c>
      <c r="H54" s="506">
        <f>IF('Gårdens info'!G34&gt;0,F54/'Gårdens info'!G34,0)</f>
        <v>1.3700051894135964E-2</v>
      </c>
      <c r="I54" s="243" t="s">
        <v>206</v>
      </c>
      <c r="J54" s="258">
        <f>'Gårdens info'!$D$48/'Gårdens info'!$D$49*'Gårdens info'!$G$48*'Gårdens info'!D34</f>
        <v>936.17021276595756</v>
      </c>
      <c r="K54" s="243" t="s">
        <v>782</v>
      </c>
      <c r="L54" s="265"/>
      <c r="M54" s="259"/>
    </row>
    <row r="55" spans="1:26" s="5" customFormat="1" ht="21" x14ac:dyDescent="0.4">
      <c r="A55" s="305"/>
      <c r="B55" s="1061" t="s">
        <v>189</v>
      </c>
      <c r="C55" s="1043"/>
      <c r="D55" s="1043"/>
      <c r="E55" s="262"/>
      <c r="F55" s="266">
        <f>F21+F44+F51+F53+F54</f>
        <v>43357.785781560284</v>
      </c>
      <c r="G55" s="267" t="s">
        <v>57</v>
      </c>
      <c r="H55" s="507">
        <f>H21+H44+H51+H53+H54</f>
        <v>3.1725209108458743</v>
      </c>
      <c r="I55" s="267" t="s">
        <v>206</v>
      </c>
      <c r="J55" s="269">
        <f>J21+J44+J51+J53+J54</f>
        <v>216788.9289078014</v>
      </c>
      <c r="K55" s="267" t="s">
        <v>782</v>
      </c>
      <c r="L55" s="267"/>
      <c r="M55" s="259"/>
    </row>
    <row r="56" spans="1:26" s="5" customFormat="1" ht="43.2" customHeight="1" x14ac:dyDescent="0.4">
      <c r="A56" s="305"/>
      <c r="B56" s="288"/>
      <c r="C56" s="270"/>
      <c r="D56" s="270"/>
      <c r="E56" s="262"/>
      <c r="F56" s="266"/>
      <c r="G56" s="267"/>
      <c r="H56" s="268"/>
      <c r="I56" s="267"/>
      <c r="J56" s="269"/>
      <c r="K56" s="267"/>
      <c r="L56" s="267"/>
      <c r="M56" s="259"/>
    </row>
    <row r="57" spans="1:26" ht="21" x14ac:dyDescent="0.4">
      <c r="B57" s="257" t="s">
        <v>786</v>
      </c>
      <c r="C57" s="225"/>
      <c r="D57" s="116"/>
      <c r="E57" s="116"/>
      <c r="F57" s="116"/>
      <c r="G57" s="116"/>
      <c r="H57" s="116"/>
      <c r="I57" s="116"/>
      <c r="J57" s="232"/>
      <c r="K57" s="116"/>
      <c r="L57" s="116"/>
      <c r="M57" s="226"/>
      <c r="N57" s="5"/>
      <c r="O57" s="5"/>
      <c r="P57" s="5"/>
      <c r="Q57" s="5"/>
      <c r="R57" s="5"/>
      <c r="S57" s="5"/>
      <c r="T57" s="5"/>
      <c r="U57" s="5"/>
      <c r="Y57" s="5"/>
      <c r="Z57" s="5"/>
    </row>
    <row r="58" spans="1:26" s="5" customFormat="1" ht="21" x14ac:dyDescent="0.4">
      <c r="A58" s="305"/>
      <c r="B58" s="1081" t="s">
        <v>69</v>
      </c>
      <c r="C58" s="1082"/>
      <c r="D58" s="270"/>
      <c r="E58" s="262"/>
      <c r="F58" s="266"/>
      <c r="G58" s="267"/>
      <c r="H58" s="268"/>
      <c r="I58" s="267"/>
      <c r="J58" s="269"/>
      <c r="K58" s="267"/>
      <c r="L58" s="267"/>
      <c r="M58" s="259"/>
      <c r="N58"/>
      <c r="O58"/>
      <c r="P58"/>
      <c r="Q58"/>
      <c r="R58"/>
      <c r="S58"/>
      <c r="T58"/>
      <c r="U58"/>
      <c r="Y58"/>
      <c r="Z58"/>
    </row>
    <row r="59" spans="1:26" s="5" customFormat="1" ht="21" x14ac:dyDescent="0.4">
      <c r="A59" s="305"/>
      <c r="B59" s="287"/>
      <c r="C59" s="274" t="s">
        <v>229</v>
      </c>
      <c r="D59" s="270"/>
      <c r="E59" s="262"/>
      <c r="F59" s="276">
        <f>IF('Gårdens info'!$D$34&gt;0,J59/'Gårdens info'!$D$34,0)</f>
        <v>317.88384128809662</v>
      </c>
      <c r="G59" s="119" t="s">
        <v>57</v>
      </c>
      <c r="H59" s="502">
        <f>IF('Gårdens info'!$G$34&gt;0,F59/'Gårdens info'!$G$34,0)</f>
        <v>2.3259793264982679E-2</v>
      </c>
      <c r="I59" s="119" t="s">
        <v>206</v>
      </c>
      <c r="J59" s="237">
        <f>Egendom!BB25</f>
        <v>1589.4192064404831</v>
      </c>
      <c r="K59" s="119" t="s">
        <v>782</v>
      </c>
      <c r="L59" s="267"/>
      <c r="M59" s="259"/>
    </row>
    <row r="60" spans="1:26" s="5" customFormat="1" ht="21" x14ac:dyDescent="0.4">
      <c r="A60" s="305"/>
      <c r="B60" s="287"/>
      <c r="C60" s="274" t="s">
        <v>230</v>
      </c>
      <c r="D60" s="270"/>
      <c r="E60" s="262"/>
      <c r="F60" s="276">
        <f>IF('Gårdens info'!$D$34&gt;0,J60/'Gårdens info'!$D$34,0)</f>
        <v>198.67740080506036</v>
      </c>
      <c r="G60" s="119" t="s">
        <v>57</v>
      </c>
      <c r="H60" s="502">
        <f>IF('Gårdens info'!$G$34&gt;0,F60/'Gårdens info'!$G$34,0)</f>
        <v>1.4537370790614174E-2</v>
      </c>
      <c r="I60" s="119" t="s">
        <v>206</v>
      </c>
      <c r="J60" s="237">
        <f>Egendom!BZ25</f>
        <v>993.38700402530185</v>
      </c>
      <c r="K60" s="119" t="s">
        <v>782</v>
      </c>
      <c r="L60" s="267"/>
      <c r="M60" s="259"/>
    </row>
    <row r="61" spans="1:26" s="5" customFormat="1" ht="17.399999999999999" customHeight="1" x14ac:dyDescent="0.3">
      <c r="A61" s="305"/>
      <c r="B61" s="287"/>
      <c r="C61" s="1083" t="s">
        <v>232</v>
      </c>
      <c r="D61" s="1083"/>
      <c r="E61" s="262"/>
      <c r="F61" s="276">
        <f>IF('Gårdens info'!$D$34&gt;0,J61/'Gårdens info'!$D$34,0)</f>
        <v>79.470960322024155</v>
      </c>
      <c r="G61" s="119" t="s">
        <v>57</v>
      </c>
      <c r="H61" s="502">
        <f>IF('Gårdens info'!$G$34&gt;0,F61/'Gårdens info'!$G$34,0)</f>
        <v>5.8149483162456697E-3</v>
      </c>
      <c r="I61" s="119" t="s">
        <v>206</v>
      </c>
      <c r="J61" s="237">
        <f>Egendom!CX25</f>
        <v>397.35480161012077</v>
      </c>
      <c r="K61" s="119" t="s">
        <v>782</v>
      </c>
      <c r="L61" s="267"/>
      <c r="M61" s="259"/>
    </row>
    <row r="62" spans="1:26" s="5" customFormat="1" ht="21" x14ac:dyDescent="0.4">
      <c r="A62" s="305"/>
      <c r="B62" s="287"/>
      <c r="C62" s="274" t="s">
        <v>234</v>
      </c>
      <c r="D62" s="270"/>
      <c r="E62" s="262"/>
      <c r="F62" s="276">
        <f>IF('Gårdens info'!$D$34&gt;0,J62/'Gårdens info'!$D$34,0)</f>
        <v>15.89419206440483</v>
      </c>
      <c r="G62" s="119" t="s">
        <v>57</v>
      </c>
      <c r="H62" s="502">
        <f>IF('Gårdens info'!$G$34&gt;0,F62/'Gårdens info'!$G$34,0)</f>
        <v>1.1629896632491339E-3</v>
      </c>
      <c r="I62" s="119" t="s">
        <v>206</v>
      </c>
      <c r="J62" s="237">
        <f>Egendom!DV25</f>
        <v>79.470960322024155</v>
      </c>
      <c r="K62" s="119" t="s">
        <v>782</v>
      </c>
      <c r="L62" s="267"/>
      <c r="M62" s="259"/>
    </row>
    <row r="63" spans="1:26" s="5" customFormat="1" ht="20.399999999999999" x14ac:dyDescent="0.35">
      <c r="A63" s="305"/>
      <c r="B63" s="289"/>
      <c r="C63" s="278" t="s">
        <v>54</v>
      </c>
      <c r="D63" s="279"/>
      <c r="E63" s="262"/>
      <c r="F63" s="280">
        <f>SUM(F59:F62)</f>
        <v>611.92639447958607</v>
      </c>
      <c r="G63" s="119" t="s">
        <v>57</v>
      </c>
      <c r="H63" s="509">
        <f t="shared" ref="H63:J63" si="2">SUM(H59:H62)</f>
        <v>4.4775102035091656E-2</v>
      </c>
      <c r="I63" s="119" t="s">
        <v>206</v>
      </c>
      <c r="J63" s="280">
        <f t="shared" si="2"/>
        <v>3059.6319723979295</v>
      </c>
      <c r="K63" s="119" t="s">
        <v>782</v>
      </c>
      <c r="L63" s="281"/>
      <c r="M63" s="259"/>
    </row>
    <row r="64" spans="1:26" s="5" customFormat="1" ht="21" x14ac:dyDescent="0.4">
      <c r="A64" s="305"/>
      <c r="B64" s="287"/>
      <c r="C64" s="274"/>
      <c r="D64" s="270"/>
      <c r="E64" s="262"/>
      <c r="F64" s="276"/>
      <c r="G64" s="119"/>
      <c r="H64" s="277"/>
      <c r="I64" s="119"/>
      <c r="J64" s="237"/>
      <c r="K64" s="119"/>
      <c r="L64" s="267"/>
      <c r="M64" s="259"/>
    </row>
    <row r="65" spans="1:13" s="5" customFormat="1" ht="19.95" customHeight="1" x14ac:dyDescent="0.3">
      <c r="A65" s="305"/>
      <c r="B65" s="1081" t="s">
        <v>83</v>
      </c>
      <c r="C65" s="1082"/>
      <c r="D65" s="1082"/>
      <c r="E65" s="262"/>
      <c r="F65" s="276"/>
      <c r="G65" s="119"/>
      <c r="H65" s="277"/>
      <c r="I65" s="119"/>
      <c r="J65" s="237"/>
      <c r="K65" s="119"/>
      <c r="L65" s="267"/>
      <c r="M65" s="259"/>
    </row>
    <row r="66" spans="1:13" s="5" customFormat="1" ht="21" x14ac:dyDescent="0.4">
      <c r="A66" s="305"/>
      <c r="B66" s="287"/>
      <c r="C66" s="274" t="s">
        <v>229</v>
      </c>
      <c r="D66" s="270"/>
      <c r="E66" s="262"/>
      <c r="F66" s="276">
        <f>IF('Gårdens info'!$D$34&gt;0,J66/'Gårdens info'!$D$34,0)</f>
        <v>210.92198581560282</v>
      </c>
      <c r="G66" s="119" t="s">
        <v>57</v>
      </c>
      <c r="H66" s="502">
        <f>IF('Gårdens info'!$G$34&gt;0,F66/'Gårdens info'!$G$34,0)</f>
        <v>1.5433316035288013E-2</v>
      </c>
      <c r="I66" s="119" t="s">
        <v>206</v>
      </c>
      <c r="J66" s="237">
        <f>Egendom!BB61</f>
        <v>1054.6099290780141</v>
      </c>
      <c r="K66" s="119" t="s">
        <v>782</v>
      </c>
      <c r="L66" s="267"/>
      <c r="M66" s="259"/>
    </row>
    <row r="67" spans="1:13" s="5" customFormat="1" ht="21" x14ac:dyDescent="0.4">
      <c r="A67" s="305"/>
      <c r="B67" s="287"/>
      <c r="C67" s="274" t="s">
        <v>230</v>
      </c>
      <c r="D67" s="270"/>
      <c r="E67" s="262"/>
      <c r="F67" s="276">
        <f>IF('Gårdens info'!$D$34&gt;0,J67/'Gårdens info'!$D$34,0)</f>
        <v>79.09574468085107</v>
      </c>
      <c r="G67" s="119" t="s">
        <v>57</v>
      </c>
      <c r="H67" s="502">
        <f>IF('Gårdens info'!$G$34&gt;0,F67/'Gårdens info'!$G$34,0)</f>
        <v>5.787493513233005E-3</v>
      </c>
      <c r="I67" s="119" t="s">
        <v>206</v>
      </c>
      <c r="J67" s="237">
        <f>Egendom!BZ61</f>
        <v>395.47872340425533</v>
      </c>
      <c r="K67" s="119" t="s">
        <v>782</v>
      </c>
      <c r="L67" s="267"/>
      <c r="M67" s="259"/>
    </row>
    <row r="68" spans="1:13" s="5" customFormat="1" ht="17.399999999999999" customHeight="1" x14ac:dyDescent="0.3">
      <c r="A68" s="305"/>
      <c r="B68" s="287"/>
      <c r="C68" s="1083" t="s">
        <v>232</v>
      </c>
      <c r="D68" s="1083"/>
      <c r="E68" s="262"/>
      <c r="F68" s="276">
        <f>IF('Gårdens info'!$D$34&gt;0,J68/'Gårdens info'!$D$34,0)</f>
        <v>94.914893617021306</v>
      </c>
      <c r="G68" s="119" t="s">
        <v>57</v>
      </c>
      <c r="H68" s="502">
        <f>IF('Gårdens info'!$G$34&gt;0,F68/'Gårdens info'!$G$34,0)</f>
        <v>6.9449922158796081E-3</v>
      </c>
      <c r="I68" s="119" t="s">
        <v>206</v>
      </c>
      <c r="J68" s="237">
        <f>Egendom!CX61</f>
        <v>474.5744680851065</v>
      </c>
      <c r="K68" s="119" t="s">
        <v>782</v>
      </c>
      <c r="L68" s="267"/>
      <c r="M68" s="259"/>
    </row>
    <row r="69" spans="1:13" s="5" customFormat="1" ht="21" x14ac:dyDescent="0.4">
      <c r="A69" s="305"/>
      <c r="B69" s="287"/>
      <c r="C69" s="274" t="s">
        <v>234</v>
      </c>
      <c r="D69" s="270"/>
      <c r="E69" s="262"/>
      <c r="F69" s="276">
        <f>IF('Gårdens info'!$D$34&gt;0,J69/'Gårdens info'!$D$34,0)</f>
        <v>6.3276595744680852</v>
      </c>
      <c r="G69" s="119" t="s">
        <v>57</v>
      </c>
      <c r="H69" s="502">
        <f>IF('Gårdens info'!$G$34&gt;0,F69/'Gårdens info'!$G$34,0)</f>
        <v>4.6299948105864042E-4</v>
      </c>
      <c r="I69" s="119" t="s">
        <v>206</v>
      </c>
      <c r="J69" s="237">
        <f>Egendom!DV61</f>
        <v>31.638297872340427</v>
      </c>
      <c r="K69" s="119" t="s">
        <v>782</v>
      </c>
      <c r="L69" s="267"/>
      <c r="M69" s="259"/>
    </row>
    <row r="70" spans="1:13" s="5" customFormat="1" ht="20.399999999999999" x14ac:dyDescent="0.35">
      <c r="A70" s="305"/>
      <c r="B70" s="289"/>
      <c r="C70" s="278" t="s">
        <v>54</v>
      </c>
      <c r="D70" s="279"/>
      <c r="E70" s="262"/>
      <c r="F70" s="280">
        <f>SUM(F66:F69)</f>
        <v>391.26028368794329</v>
      </c>
      <c r="G70" s="119" t="s">
        <v>57</v>
      </c>
      <c r="H70" s="509">
        <f t="shared" ref="H70:J70" si="3">SUM(H66:H69)</f>
        <v>2.8628801245459263E-2</v>
      </c>
      <c r="I70" s="119" t="s">
        <v>206</v>
      </c>
      <c r="J70" s="280">
        <f t="shared" si="3"/>
        <v>1956.3014184397164</v>
      </c>
      <c r="K70" s="119" t="s">
        <v>782</v>
      </c>
      <c r="L70" s="281"/>
      <c r="M70" s="259"/>
    </row>
    <row r="71" spans="1:13" s="5" customFormat="1" ht="21" x14ac:dyDescent="0.4">
      <c r="A71" s="305"/>
      <c r="B71" s="287"/>
      <c r="C71" s="274"/>
      <c r="D71" s="270"/>
      <c r="E71" s="262"/>
      <c r="F71" s="276"/>
      <c r="G71" s="119"/>
      <c r="H71" s="277"/>
      <c r="I71" s="119"/>
      <c r="J71" s="237"/>
      <c r="K71" s="119"/>
      <c r="L71" s="267"/>
      <c r="M71" s="259"/>
    </row>
    <row r="72" spans="1:13" s="5" customFormat="1" ht="19.95" customHeight="1" x14ac:dyDescent="0.3">
      <c r="A72" s="305"/>
      <c r="B72" s="1081" t="s">
        <v>787</v>
      </c>
      <c r="C72" s="1082"/>
      <c r="D72" s="1082"/>
      <c r="E72" s="262"/>
      <c r="F72" s="276"/>
      <c r="G72" s="119"/>
      <c r="H72" s="277"/>
      <c r="I72" s="119"/>
      <c r="J72" s="237"/>
      <c r="K72" s="119"/>
      <c r="L72" s="267"/>
      <c r="M72" s="259"/>
    </row>
    <row r="73" spans="1:13" s="5" customFormat="1" ht="21" x14ac:dyDescent="0.4">
      <c r="A73" s="305"/>
      <c r="B73" s="287"/>
      <c r="C73" s="274" t="s">
        <v>229</v>
      </c>
      <c r="D73" s="270"/>
      <c r="E73" s="262"/>
      <c r="F73" s="276">
        <f>IF('Gårdens info'!$D$34&gt;0,J73/'Gårdens info'!$D$34,0)</f>
        <v>61.729729729729726</v>
      </c>
      <c r="G73" s="119" t="s">
        <v>57</v>
      </c>
      <c r="H73" s="502">
        <f>IF('Gårdens info'!$G$34&gt;0,F73/'Gårdens info'!$G$34,0)</f>
        <v>4.5168094924192487E-3</v>
      </c>
      <c r="I73" s="119" t="s">
        <v>206</v>
      </c>
      <c r="J73" s="237">
        <f>Egendom!BB90</f>
        <v>308.64864864864865</v>
      </c>
      <c r="K73" s="119" t="s">
        <v>782</v>
      </c>
      <c r="L73" s="267"/>
      <c r="M73" s="259"/>
    </row>
    <row r="74" spans="1:13" s="5" customFormat="1" ht="21" x14ac:dyDescent="0.4">
      <c r="A74" s="305"/>
      <c r="B74" s="287"/>
      <c r="C74" s="274" t="s">
        <v>230</v>
      </c>
      <c r="D74" s="270"/>
      <c r="E74" s="262"/>
      <c r="F74" s="276">
        <f>IF('Gårdens info'!$D$34&gt;0,J74/'Gårdens info'!$D$34,0)</f>
        <v>11.162162162162161</v>
      </c>
      <c r="G74" s="119" t="s">
        <v>57</v>
      </c>
      <c r="H74" s="502">
        <f>IF('Gårdens info'!$G$34&gt;0,F74/'Gårdens info'!$G$34,0)</f>
        <v>8.1674357284113378E-4</v>
      </c>
      <c r="I74" s="119" t="s">
        <v>206</v>
      </c>
      <c r="J74" s="237">
        <f>Egendom!BZ90</f>
        <v>55.810810810810807</v>
      </c>
      <c r="K74" s="119" t="s">
        <v>782</v>
      </c>
      <c r="L74" s="267"/>
      <c r="M74" s="259"/>
    </row>
    <row r="75" spans="1:13" s="5" customFormat="1" ht="17.399999999999999" customHeight="1" x14ac:dyDescent="0.3">
      <c r="A75" s="305"/>
      <c r="B75" s="287"/>
      <c r="C75" s="1083" t="s">
        <v>232</v>
      </c>
      <c r="D75" s="1083"/>
      <c r="E75" s="262"/>
      <c r="F75" s="276">
        <f>IF('Gårdens info'!$D$34&gt;0,J75/'Gårdens info'!$D$34,0)</f>
        <v>22.324324324324323</v>
      </c>
      <c r="G75" s="119" t="s">
        <v>57</v>
      </c>
      <c r="H75" s="502">
        <f>IF('Gårdens info'!$G$34&gt;0,F75/'Gårdens info'!$G$34,0)</f>
        <v>1.6334871456822676E-3</v>
      </c>
      <c r="I75" s="119" t="s">
        <v>206</v>
      </c>
      <c r="J75" s="237">
        <f>Egendom!CX90</f>
        <v>111.62162162162161</v>
      </c>
      <c r="K75" s="119" t="s">
        <v>782</v>
      </c>
      <c r="L75" s="267"/>
      <c r="M75" s="259"/>
    </row>
    <row r="76" spans="1:13" s="5" customFormat="1" ht="21" x14ac:dyDescent="0.4">
      <c r="A76" s="305"/>
      <c r="B76" s="287"/>
      <c r="C76" s="274" t="s">
        <v>234</v>
      </c>
      <c r="D76" s="270"/>
      <c r="E76" s="262"/>
      <c r="F76" s="276">
        <f>IF('Gårdens info'!$D$34&gt;0,J76/'Gårdens info'!$D$34,0)</f>
        <v>0.89297297297297307</v>
      </c>
      <c r="G76" s="119" t="s">
        <v>57</v>
      </c>
      <c r="H76" s="502">
        <f>IF('Gårdens info'!$G$34&gt;0,F76/'Gårdens info'!$G$34,0)</f>
        <v>6.5339485827290716E-5</v>
      </c>
      <c r="I76" s="119" t="s">
        <v>206</v>
      </c>
      <c r="J76" s="237">
        <f>Egendom!DV90</f>
        <v>4.4648648648648654</v>
      </c>
      <c r="K76" s="119" t="s">
        <v>782</v>
      </c>
      <c r="L76" s="267"/>
      <c r="M76" s="259"/>
    </row>
    <row r="77" spans="1:13" s="5" customFormat="1" ht="20.399999999999999" x14ac:dyDescent="0.35">
      <c r="A77" s="305"/>
      <c r="B77" s="289"/>
      <c r="C77" s="278" t="s">
        <v>54</v>
      </c>
      <c r="D77" s="279"/>
      <c r="E77" s="262"/>
      <c r="F77" s="280">
        <f>SUM(F73:F76)</f>
        <v>96.109189189189181</v>
      </c>
      <c r="G77" s="119" t="s">
        <v>57</v>
      </c>
      <c r="H77" s="509">
        <f t="shared" ref="H77:J77" si="4">SUM(H73:H76)</f>
        <v>7.0323796967699413E-3</v>
      </c>
      <c r="I77" s="119" t="s">
        <v>206</v>
      </c>
      <c r="J77" s="280">
        <f t="shared" si="4"/>
        <v>480.54594594594596</v>
      </c>
      <c r="K77" s="119" t="s">
        <v>782</v>
      </c>
      <c r="L77" s="281"/>
      <c r="M77" s="259"/>
    </row>
    <row r="78" spans="1:13" s="5" customFormat="1" ht="21" x14ac:dyDescent="0.4">
      <c r="A78" s="305"/>
      <c r="B78" s="287"/>
      <c r="C78" s="274"/>
      <c r="D78" s="270"/>
      <c r="E78" s="262"/>
      <c r="F78" s="276"/>
      <c r="G78" s="119"/>
      <c r="H78" s="277"/>
      <c r="I78" s="119"/>
      <c r="J78" s="237"/>
      <c r="K78" s="119"/>
      <c r="L78" s="267"/>
      <c r="M78" s="259"/>
    </row>
    <row r="79" spans="1:13" s="5" customFormat="1" ht="21" x14ac:dyDescent="0.4">
      <c r="A79" s="305"/>
      <c r="B79" s="1084" t="s">
        <v>139</v>
      </c>
      <c r="C79" s="1085"/>
      <c r="D79" s="270"/>
      <c r="E79" s="262"/>
      <c r="F79" s="276"/>
      <c r="G79" s="119"/>
      <c r="H79" s="277"/>
      <c r="I79" s="119"/>
      <c r="J79" s="237"/>
      <c r="K79" s="119"/>
      <c r="L79" s="267"/>
      <c r="M79" s="259"/>
    </row>
    <row r="80" spans="1:13" s="5" customFormat="1" ht="21" x14ac:dyDescent="0.4">
      <c r="A80" s="305"/>
      <c r="B80" s="287"/>
      <c r="C80" s="274" t="s">
        <v>229</v>
      </c>
      <c r="D80" s="270"/>
      <c r="E80" s="262"/>
      <c r="F80" s="276">
        <f>IF('Gårdens info'!$D$34&gt;0,J80/'Gårdens info'!$D$34,0)</f>
        <v>0</v>
      </c>
      <c r="G80" s="119" t="s">
        <v>57</v>
      </c>
      <c r="H80" s="502">
        <f>IF('Gårdens info'!$G$34&gt;0,F80/'Gårdens info'!$G$34,0)</f>
        <v>0</v>
      </c>
      <c r="I80" s="119" t="s">
        <v>206</v>
      </c>
      <c r="J80" s="237">
        <f>Egendom!BB93</f>
        <v>0</v>
      </c>
      <c r="K80" s="119" t="s">
        <v>782</v>
      </c>
      <c r="L80" s="267"/>
      <c r="M80" s="259"/>
    </row>
    <row r="81" spans="1:26" s="5" customFormat="1" ht="21" x14ac:dyDescent="0.4">
      <c r="A81" s="305"/>
      <c r="B81" s="287"/>
      <c r="C81" s="274" t="s">
        <v>230</v>
      </c>
      <c r="D81" s="270"/>
      <c r="E81" s="262"/>
      <c r="F81" s="276">
        <f>IF('Gårdens info'!$D$34&gt;0,J81/'Gårdens info'!$D$34,0)</f>
        <v>0</v>
      </c>
      <c r="G81" s="119" t="s">
        <v>57</v>
      </c>
      <c r="H81" s="502">
        <f>IF('Gårdens info'!$G$34&gt;0,F81/'Gårdens info'!$G$34,0)</f>
        <v>0</v>
      </c>
      <c r="I81" s="119" t="s">
        <v>206</v>
      </c>
      <c r="J81" s="237">
        <f>Egendom!BZ93</f>
        <v>0</v>
      </c>
      <c r="K81" s="119" t="s">
        <v>782</v>
      </c>
      <c r="L81" s="267"/>
      <c r="M81" s="259"/>
    </row>
    <row r="82" spans="1:26" s="5" customFormat="1" ht="17.399999999999999" customHeight="1" x14ac:dyDescent="0.3">
      <c r="A82" s="305"/>
      <c r="B82" s="287"/>
      <c r="C82" s="1083" t="s">
        <v>232</v>
      </c>
      <c r="D82" s="1083"/>
      <c r="E82" s="262"/>
      <c r="F82" s="276">
        <f>IF('Gårdens info'!$D$34&gt;0,J82/'Gårdens info'!$D$34,0)</f>
        <v>14.285714285714286</v>
      </c>
      <c r="G82" s="119" t="s">
        <v>57</v>
      </c>
      <c r="H82" s="502">
        <f>IF('Gårdens info'!$G$34&gt;0,F82/'Gårdens info'!$G$34,0)</f>
        <v>1.0452961672473868E-3</v>
      </c>
      <c r="I82" s="119" t="s">
        <v>206</v>
      </c>
      <c r="J82" s="237">
        <f>Egendom!CX93</f>
        <v>71.428571428571431</v>
      </c>
      <c r="K82" s="119" t="s">
        <v>782</v>
      </c>
      <c r="L82" s="267"/>
      <c r="M82" s="259"/>
    </row>
    <row r="83" spans="1:26" s="194" customFormat="1" ht="18" x14ac:dyDescent="0.35">
      <c r="A83" s="309"/>
      <c r="B83" s="286"/>
      <c r="C83" s="278" t="s">
        <v>54</v>
      </c>
      <c r="D83" s="261"/>
      <c r="E83" s="261"/>
      <c r="F83" s="280">
        <f>SUM(F80:F82)</f>
        <v>14.285714285714286</v>
      </c>
      <c r="G83" s="119" t="s">
        <v>57</v>
      </c>
      <c r="H83" s="509">
        <f t="shared" ref="H83:J83" si="5">SUM(H80:H82)</f>
        <v>1.0452961672473868E-3</v>
      </c>
      <c r="I83" s="119" t="s">
        <v>206</v>
      </c>
      <c r="J83" s="280">
        <f t="shared" si="5"/>
        <v>71.428571428571431</v>
      </c>
      <c r="K83" s="119" t="s">
        <v>782</v>
      </c>
      <c r="L83" s="284"/>
      <c r="M83" s="290"/>
      <c r="N83" s="5"/>
      <c r="O83" s="5"/>
      <c r="P83" s="5"/>
      <c r="Q83" s="5"/>
      <c r="R83" s="5"/>
      <c r="S83" s="5"/>
      <c r="T83" s="5"/>
      <c r="U83" s="5"/>
      <c r="Y83" s="5"/>
      <c r="Z83" s="5"/>
    </row>
    <row r="84" spans="1:26" s="5" customFormat="1" ht="21" x14ac:dyDescent="0.4">
      <c r="A84" s="305"/>
      <c r="B84" s="1061" t="s">
        <v>191</v>
      </c>
      <c r="C84" s="1043"/>
      <c r="D84" s="1043"/>
      <c r="E84" s="262"/>
      <c r="F84" s="266">
        <f>F63+F70+F77+F83</f>
        <v>1113.5815816424329</v>
      </c>
      <c r="G84" s="267" t="s">
        <v>57</v>
      </c>
      <c r="H84" s="507">
        <f>H63+H70+H77+H83</f>
        <v>8.1481579144568245E-2</v>
      </c>
      <c r="I84" s="267" t="s">
        <v>206</v>
      </c>
      <c r="J84" s="269">
        <f>J63+J70+J77+J83</f>
        <v>5567.9079082121634</v>
      </c>
      <c r="K84" s="267" t="s">
        <v>782</v>
      </c>
      <c r="L84" s="267"/>
      <c r="M84" s="259"/>
      <c r="N84" s="194"/>
      <c r="O84" s="194"/>
      <c r="P84" s="194"/>
      <c r="Q84" s="194"/>
      <c r="R84" s="194"/>
      <c r="S84" s="194"/>
      <c r="T84" s="194"/>
      <c r="U84" s="194"/>
      <c r="Y84" s="194"/>
      <c r="Z84" s="194"/>
    </row>
    <row r="85" spans="1:26" s="5" customFormat="1" ht="40.950000000000003" customHeight="1" x14ac:dyDescent="0.3">
      <c r="A85" s="305"/>
      <c r="B85" s="286"/>
      <c r="C85" s="262"/>
      <c r="D85" s="262"/>
      <c r="E85" s="262"/>
      <c r="F85" s="263"/>
      <c r="G85" s="243"/>
      <c r="H85" s="264"/>
      <c r="I85" s="243"/>
      <c r="J85" s="258"/>
      <c r="K85" s="243"/>
      <c r="L85" s="265"/>
      <c r="M85" s="259"/>
    </row>
    <row r="86" spans="1:26" s="5" customFormat="1" ht="21" x14ac:dyDescent="0.4">
      <c r="A86" s="305"/>
      <c r="B86" s="257" t="s">
        <v>192</v>
      </c>
      <c r="C86" s="262"/>
      <c r="D86" s="262"/>
      <c r="E86" s="262"/>
      <c r="F86" s="263"/>
      <c r="G86" s="243"/>
      <c r="H86" s="264"/>
      <c r="I86" s="243"/>
      <c r="J86" s="258"/>
      <c r="K86" s="243"/>
      <c r="L86" s="265"/>
      <c r="M86" s="259"/>
    </row>
    <row r="87" spans="1:26" s="56" customFormat="1" ht="17.399999999999999" x14ac:dyDescent="0.3">
      <c r="A87" s="306"/>
      <c r="B87" s="1148" t="s">
        <v>564</v>
      </c>
      <c r="C87" s="1149"/>
      <c r="D87" s="1149"/>
      <c r="E87" s="120"/>
      <c r="F87" s="120"/>
      <c r="G87" s="120"/>
      <c r="H87" s="120"/>
      <c r="I87" s="120"/>
      <c r="J87" s="233"/>
      <c r="K87" s="120"/>
      <c r="L87" s="120"/>
      <c r="M87" s="234"/>
      <c r="N87" s="5"/>
      <c r="O87" s="5"/>
      <c r="P87" s="5"/>
      <c r="Q87" s="5"/>
      <c r="R87" s="5"/>
      <c r="S87" s="5"/>
      <c r="T87" s="5"/>
      <c r="U87" s="5"/>
      <c r="Y87" s="5"/>
      <c r="Z87" s="5"/>
    </row>
    <row r="88" spans="1:26" s="69" customFormat="1" ht="17.399999999999999" x14ac:dyDescent="0.3">
      <c r="A88" s="307"/>
      <c r="B88" s="235"/>
      <c r="C88" s="228" t="s">
        <v>192</v>
      </c>
      <c r="D88" s="236"/>
      <c r="E88" s="236"/>
      <c r="F88" s="237">
        <f>IF('Gårdens info'!D34&gt;0,H185/'Gårdens info'!I34,0)</f>
        <v>159.98333333333332</v>
      </c>
      <c r="G88" s="119" t="s">
        <v>57</v>
      </c>
      <c r="H88" s="503">
        <f>IF('Gårdens info'!G34&gt;0,F88/'Gårdens info'!$G$34,0)</f>
        <v>1.170609756097561E-2</v>
      </c>
      <c r="I88" s="119" t="s">
        <v>206</v>
      </c>
      <c r="J88" s="237">
        <f>F88*'Gårdens info'!D33</f>
        <v>0</v>
      </c>
      <c r="K88" s="119" t="s">
        <v>782</v>
      </c>
      <c r="L88" s="236"/>
      <c r="M88" s="239"/>
      <c r="N88" s="56"/>
      <c r="O88" s="56"/>
      <c r="P88" s="56"/>
      <c r="Q88" s="56"/>
      <c r="R88" s="56"/>
      <c r="S88" s="56"/>
      <c r="T88" s="56"/>
      <c r="U88" s="56"/>
      <c r="Y88" s="56"/>
      <c r="Z88" s="56"/>
    </row>
    <row r="89" spans="1:26" s="5" customFormat="1" ht="15.6" x14ac:dyDescent="0.3">
      <c r="A89" s="305"/>
      <c r="B89" s="286"/>
      <c r="C89" s="262"/>
      <c r="D89" s="262"/>
      <c r="E89" s="262"/>
      <c r="F89" s="263"/>
      <c r="G89" s="243"/>
      <c r="H89" s="264"/>
      <c r="I89" s="243"/>
      <c r="J89" s="258"/>
      <c r="K89" s="243"/>
      <c r="L89" s="265"/>
      <c r="M89" s="259"/>
      <c r="N89" s="69"/>
      <c r="O89" s="69"/>
      <c r="P89" s="69"/>
      <c r="Q89" s="69"/>
      <c r="R89" s="69"/>
      <c r="S89" s="69"/>
      <c r="T89" s="69"/>
      <c r="U89" s="69"/>
      <c r="Y89" s="69"/>
      <c r="Z89" s="69"/>
    </row>
    <row r="90" spans="1:26" s="56" customFormat="1" ht="17.399999999999999" x14ac:dyDescent="0.3">
      <c r="A90" s="306"/>
      <c r="B90" s="1148" t="s">
        <v>788</v>
      </c>
      <c r="C90" s="1149"/>
      <c r="D90" s="1149"/>
      <c r="E90" s="120"/>
      <c r="F90" s="120"/>
      <c r="G90" s="120"/>
      <c r="H90" s="120"/>
      <c r="I90" s="120"/>
      <c r="J90" s="233"/>
      <c r="K90" s="120"/>
      <c r="L90" s="120"/>
      <c r="M90" s="234"/>
      <c r="N90" s="5"/>
      <c r="O90" s="5"/>
      <c r="P90" s="5"/>
      <c r="Q90" s="5"/>
      <c r="R90" s="5"/>
      <c r="S90" s="5"/>
      <c r="T90" s="5"/>
      <c r="U90" s="5"/>
      <c r="Y90" s="5"/>
      <c r="Z90" s="5"/>
    </row>
    <row r="91" spans="1:26" s="69" customFormat="1" ht="17.399999999999999" x14ac:dyDescent="0.3">
      <c r="A91" s="307"/>
      <c r="B91" s="235"/>
      <c r="C91" s="228" t="s">
        <v>192</v>
      </c>
      <c r="D91" s="236"/>
      <c r="E91" s="236"/>
      <c r="F91" s="237">
        <f>IF('Gårdens info'!D34&gt;0,H296*'Gårdens info'!K34/'Gårdens info'!I34,0)</f>
        <v>252.3</v>
      </c>
      <c r="G91" s="119" t="s">
        <v>57</v>
      </c>
      <c r="H91" s="503">
        <f>IF('Gårdens info'!G34&gt;0,F91/'Gårdens info'!$G$34,0)</f>
        <v>1.8460975609756101E-2</v>
      </c>
      <c r="I91" s="119" t="s">
        <v>206</v>
      </c>
      <c r="J91" s="237">
        <f>F91*'Gårdens info'!D33</f>
        <v>0</v>
      </c>
      <c r="K91" s="119" t="s">
        <v>782</v>
      </c>
      <c r="L91" s="236"/>
      <c r="M91" s="239"/>
      <c r="N91" s="56"/>
      <c r="O91" s="56"/>
      <c r="P91" s="56"/>
      <c r="Q91" s="56"/>
      <c r="R91" s="56"/>
      <c r="S91" s="56"/>
      <c r="T91" s="56"/>
      <c r="U91" s="56"/>
      <c r="Y91" s="56"/>
      <c r="Z91" s="56"/>
    </row>
    <row r="92" spans="1:26" s="5" customFormat="1" ht="15.6" x14ac:dyDescent="0.3">
      <c r="A92" s="305"/>
      <c r="B92" s="286"/>
      <c r="C92" s="262"/>
      <c r="D92" s="262"/>
      <c r="E92" s="262"/>
      <c r="F92" s="263"/>
      <c r="G92" s="243"/>
      <c r="H92" s="264"/>
      <c r="I92" s="243"/>
      <c r="J92" s="258"/>
      <c r="K92" s="243"/>
      <c r="L92" s="265"/>
      <c r="M92" s="259"/>
      <c r="N92" s="69"/>
      <c r="O92" s="69"/>
      <c r="P92" s="69"/>
      <c r="Q92" s="69"/>
      <c r="R92" s="69"/>
      <c r="S92" s="69"/>
      <c r="T92" s="69"/>
      <c r="U92" s="69"/>
      <c r="Y92" s="69"/>
      <c r="Z92" s="69"/>
    </row>
    <row r="93" spans="1:26" s="56" customFormat="1" ht="17.399999999999999" x14ac:dyDescent="0.3">
      <c r="A93" s="306"/>
      <c r="B93" s="501" t="s">
        <v>389</v>
      </c>
      <c r="C93" s="245"/>
      <c r="D93" s="249"/>
      <c r="E93" s="249"/>
      <c r="F93" s="250"/>
      <c r="G93" s="120"/>
      <c r="H93" s="249"/>
      <c r="I93" s="249"/>
      <c r="J93" s="249"/>
      <c r="K93" s="249"/>
      <c r="L93" s="249"/>
      <c r="M93" s="234"/>
      <c r="N93" s="5"/>
      <c r="O93" s="5"/>
      <c r="P93" s="5"/>
      <c r="Q93" s="5"/>
      <c r="R93" s="5"/>
      <c r="S93" s="5"/>
      <c r="T93" s="5"/>
      <c r="U93" s="5"/>
      <c r="Y93" s="5"/>
      <c r="Z93" s="5"/>
    </row>
    <row r="94" spans="1:26" s="69" customFormat="1" ht="17.399999999999999" x14ac:dyDescent="0.3">
      <c r="A94" s="307"/>
      <c r="B94" s="235"/>
      <c r="C94" s="228" t="s">
        <v>192</v>
      </c>
      <c r="D94" s="236"/>
      <c r="E94" s="236"/>
      <c r="F94" s="237">
        <f>IF('Gårdens info'!D34&gt;0,H396,0)</f>
        <v>2349</v>
      </c>
      <c r="G94" s="119" t="s">
        <v>57</v>
      </c>
      <c r="H94" s="503">
        <f>IF('Gårdens info'!G34&gt;0,F94/'Gårdens info'!$G$34,0)</f>
        <v>0.17187804878048782</v>
      </c>
      <c r="I94" s="119" t="s">
        <v>206</v>
      </c>
      <c r="J94" s="237">
        <f>F94*'Gårdens info'!D33</f>
        <v>0</v>
      </c>
      <c r="K94" s="119" t="s">
        <v>782</v>
      </c>
      <c r="L94" s="236"/>
      <c r="M94" s="239"/>
      <c r="N94" s="56"/>
      <c r="O94" s="56"/>
      <c r="P94" s="56"/>
      <c r="Q94" s="56"/>
      <c r="R94" s="56"/>
      <c r="S94" s="56"/>
      <c r="T94" s="56"/>
      <c r="U94" s="56"/>
      <c r="Y94" s="56"/>
      <c r="Z94" s="56"/>
    </row>
    <row r="95" spans="1:26" s="56" customFormat="1" ht="17.399999999999999" x14ac:dyDescent="0.3">
      <c r="A95" s="306"/>
      <c r="B95" s="248"/>
      <c r="C95" s="245"/>
      <c r="D95" s="249"/>
      <c r="E95" s="249"/>
      <c r="F95" s="250"/>
      <c r="G95" s="120"/>
      <c r="H95" s="249"/>
      <c r="I95" s="249"/>
      <c r="J95" s="249"/>
      <c r="K95" s="249"/>
      <c r="L95" s="249"/>
      <c r="M95" s="234"/>
      <c r="N95" s="69"/>
      <c r="O95" s="69"/>
      <c r="P95" s="69"/>
      <c r="Q95" s="69"/>
      <c r="R95" s="69"/>
      <c r="S95" s="69"/>
      <c r="T95" s="69"/>
      <c r="U95" s="69"/>
      <c r="Y95" s="69"/>
      <c r="Z95" s="69"/>
    </row>
    <row r="96" spans="1:26" ht="27" customHeight="1" x14ac:dyDescent="0.3">
      <c r="B96" s="501" t="s">
        <v>581</v>
      </c>
      <c r="C96" s="245"/>
      <c r="D96" s="246"/>
      <c r="E96" s="246"/>
      <c r="F96" s="246"/>
      <c r="G96" s="246"/>
      <c r="H96" s="246"/>
      <c r="I96" s="246"/>
      <c r="J96" s="246"/>
      <c r="K96" s="246"/>
      <c r="L96" s="246"/>
      <c r="M96" s="226"/>
      <c r="N96" s="56"/>
      <c r="O96" s="56"/>
      <c r="P96" s="56"/>
      <c r="Q96" s="56"/>
      <c r="R96" s="56"/>
      <c r="S96" s="56"/>
      <c r="T96" s="56"/>
      <c r="U96" s="56"/>
      <c r="Y96" s="56"/>
      <c r="Z96" s="56"/>
    </row>
    <row r="97" spans="1:26" s="69" customFormat="1" ht="15" x14ac:dyDescent="0.25">
      <c r="A97" s="307"/>
      <c r="B97" s="235"/>
      <c r="C97" s="228" t="s">
        <v>192</v>
      </c>
      <c r="D97" s="236"/>
      <c r="E97" s="236"/>
      <c r="F97" s="237">
        <f>IF('Gårdens info'!D34&gt;0,H446/'Gårdens info'!I34,0)</f>
        <v>1.9333333333333333</v>
      </c>
      <c r="G97" s="119" t="s">
        <v>57</v>
      </c>
      <c r="H97" s="503">
        <f>IF('Gårdens info'!G34&gt;0,F97/'Gårdens info'!$G$34,0)</f>
        <v>1.4146341463414634E-4</v>
      </c>
      <c r="I97" s="119" t="s">
        <v>206</v>
      </c>
      <c r="J97" s="237">
        <f>F97*'Gårdens info'!D33</f>
        <v>0</v>
      </c>
      <c r="K97" s="119" t="s">
        <v>782</v>
      </c>
      <c r="L97" s="236"/>
      <c r="M97" s="239"/>
      <c r="N97"/>
      <c r="O97"/>
      <c r="P97"/>
      <c r="Q97"/>
      <c r="R97"/>
      <c r="S97"/>
      <c r="T97"/>
      <c r="U97"/>
      <c r="Y97"/>
      <c r="Z97"/>
    </row>
    <row r="98" spans="1:26" s="5" customFormat="1" ht="21" x14ac:dyDescent="0.4">
      <c r="A98" s="305"/>
      <c r="B98" s="1061" t="s">
        <v>194</v>
      </c>
      <c r="C98" s="1043"/>
      <c r="D98" s="1043"/>
      <c r="E98" s="262"/>
      <c r="F98" s="266">
        <f>F88+F91+F94+F97</f>
        <v>2763.2166666666667</v>
      </c>
      <c r="G98" s="267" t="s">
        <v>57</v>
      </c>
      <c r="H98" s="507">
        <f>H88+H91+H94+H97</f>
        <v>0.20218658536585368</v>
      </c>
      <c r="I98" s="267" t="s">
        <v>206</v>
      </c>
      <c r="J98" s="269">
        <f>J88+J91+J94+J97</f>
        <v>0</v>
      </c>
      <c r="K98" s="267" t="s">
        <v>782</v>
      </c>
      <c r="L98" s="267"/>
      <c r="M98" s="259"/>
      <c r="N98" s="69"/>
      <c r="O98" s="69"/>
      <c r="P98" s="69"/>
      <c r="Q98" s="69"/>
      <c r="R98" s="69"/>
      <c r="S98" s="69"/>
      <c r="T98" s="69"/>
      <c r="U98" s="69"/>
      <c r="Y98" s="69"/>
      <c r="Z98" s="69"/>
    </row>
    <row r="99" spans="1:26" s="5" customFormat="1" ht="21" x14ac:dyDescent="0.4">
      <c r="A99" s="305"/>
      <c r="B99" s="288"/>
      <c r="C99" s="270"/>
      <c r="D99" s="270"/>
      <c r="E99" s="262"/>
      <c r="F99" s="266"/>
      <c r="G99" s="267"/>
      <c r="H99" s="507"/>
      <c r="I99" s="267"/>
      <c r="J99" s="269"/>
      <c r="K99" s="267"/>
      <c r="L99" s="267"/>
      <c r="M99" s="259"/>
      <c r="Y99" s="69"/>
      <c r="Z99" s="69"/>
    </row>
    <row r="100" spans="1:26" s="5" customFormat="1" ht="21" x14ac:dyDescent="0.4">
      <c r="A100" s="305"/>
      <c r="B100" s="1061" t="s">
        <v>195</v>
      </c>
      <c r="C100" s="1043"/>
      <c r="D100" s="1043"/>
      <c r="E100" s="262"/>
      <c r="F100" s="266">
        <f>F55+F84+F98</f>
        <v>47234.584029869387</v>
      </c>
      <c r="G100" s="267" t="s">
        <v>57</v>
      </c>
      <c r="H100" s="572">
        <f>H55+H84+H98</f>
        <v>3.4561890753562965</v>
      </c>
      <c r="I100" s="267" t="s">
        <v>206</v>
      </c>
      <c r="J100" s="266">
        <f>J55+J84+J98</f>
        <v>222356.83681601356</v>
      </c>
      <c r="K100" s="267" t="s">
        <v>782</v>
      </c>
      <c r="L100" s="267"/>
      <c r="M100" s="259"/>
      <c r="Y100" s="69"/>
      <c r="Z100" s="69"/>
    </row>
    <row r="101" spans="1:26" s="5" customFormat="1" ht="21" x14ac:dyDescent="0.4">
      <c r="A101" s="305"/>
      <c r="B101" s="288"/>
      <c r="C101" s="270"/>
      <c r="D101" s="270"/>
      <c r="E101" s="262"/>
      <c r="F101" s="266"/>
      <c r="G101" s="267"/>
      <c r="H101" s="268"/>
      <c r="I101" s="267"/>
      <c r="J101" s="269"/>
      <c r="K101" s="267"/>
      <c r="L101" s="267"/>
      <c r="M101" s="259"/>
    </row>
    <row r="102" spans="1:26" s="5" customFormat="1" ht="21.6" thickBot="1" x14ac:dyDescent="0.45">
      <c r="A102" s="305"/>
      <c r="B102" s="1059" t="s">
        <v>198</v>
      </c>
      <c r="C102" s="1060"/>
      <c r="D102" s="1060"/>
      <c r="E102" s="253"/>
      <c r="F102" s="292">
        <f>F11-F55-F84-F98</f>
        <v>-22974.150696536053</v>
      </c>
      <c r="G102" s="293" t="s">
        <v>57</v>
      </c>
      <c r="H102" s="510">
        <f>H11-H55-H84-H98</f>
        <v>-1.681035416819711</v>
      </c>
      <c r="I102" s="293" t="s">
        <v>206</v>
      </c>
      <c r="J102" s="292">
        <f>J11-J55-J84-J98</f>
        <v>-101054.6701493469</v>
      </c>
      <c r="K102" s="293" t="s">
        <v>782</v>
      </c>
      <c r="L102" s="293"/>
      <c r="M102" s="254"/>
    </row>
    <row r="103" spans="1:26" ht="57" customHeight="1" thickBot="1" x14ac:dyDescent="0.45">
      <c r="B103" s="444"/>
      <c r="C103" s="116"/>
      <c r="D103" s="116"/>
      <c r="E103" s="116"/>
      <c r="F103" s="116"/>
      <c r="G103" s="116"/>
      <c r="H103" s="116"/>
      <c r="I103" s="116"/>
      <c r="J103" s="116"/>
      <c r="K103" s="116"/>
      <c r="L103" s="116"/>
      <c r="M103" s="116"/>
      <c r="N103" s="5"/>
      <c r="O103" s="5"/>
      <c r="P103" s="5"/>
      <c r="Q103" s="5"/>
      <c r="R103" s="5"/>
      <c r="S103" s="5"/>
      <c r="T103" s="5"/>
      <c r="U103" s="5"/>
      <c r="Y103" s="5"/>
      <c r="Z103" s="5"/>
    </row>
    <row r="104" spans="1:26" ht="22.95" customHeight="1" thickBot="1" x14ac:dyDescent="0.45">
      <c r="B104" s="1129" t="s">
        <v>564</v>
      </c>
      <c r="C104" s="1130"/>
      <c r="D104" s="1130"/>
      <c r="E104" s="1131"/>
      <c r="F104" s="116"/>
      <c r="G104" s="116"/>
      <c r="H104" s="116"/>
      <c r="I104" s="116"/>
      <c r="J104" s="1140" t="s">
        <v>645</v>
      </c>
      <c r="K104" s="1140"/>
      <c r="L104" s="1140"/>
      <c r="M104" s="116"/>
    </row>
    <row r="105" spans="1:26" ht="28.2" customHeight="1" x14ac:dyDescent="0.4">
      <c r="B105" s="438"/>
      <c r="C105" s="438"/>
      <c r="D105" s="438"/>
      <c r="E105" s="438"/>
      <c r="F105" s="116"/>
      <c r="G105" s="116"/>
      <c r="H105" s="116"/>
      <c r="I105" s="116"/>
      <c r="J105" s="116"/>
      <c r="K105" s="116"/>
      <c r="L105" s="116"/>
      <c r="M105" s="116"/>
    </row>
    <row r="106" spans="1:26" ht="15.6" x14ac:dyDescent="0.3">
      <c r="B106" s="89" t="s">
        <v>592</v>
      </c>
      <c r="C106" s="44"/>
      <c r="D106" s="44"/>
      <c r="E106" s="44"/>
      <c r="F106" s="1077" t="s">
        <v>114</v>
      </c>
      <c r="G106" s="1077"/>
      <c r="H106" s="1077" t="s">
        <v>113</v>
      </c>
      <c r="I106" s="1077"/>
      <c r="J106" s="1077" t="s">
        <v>243</v>
      </c>
      <c r="K106" s="1077"/>
      <c r="L106" s="111" t="s">
        <v>244</v>
      </c>
      <c r="M106" s="46"/>
    </row>
    <row r="107" spans="1:26" ht="13.8" thickBot="1" x14ac:dyDescent="0.3">
      <c r="B107" s="48"/>
      <c r="C107" s="44" t="s">
        <v>789</v>
      </c>
      <c r="D107" s="44"/>
      <c r="E107" s="44"/>
      <c r="F107" s="44"/>
      <c r="G107" s="44"/>
      <c r="H107" s="44"/>
      <c r="I107" s="44"/>
      <c r="J107" s="46"/>
      <c r="K107" s="46"/>
      <c r="L107" s="46"/>
      <c r="M107" s="46"/>
    </row>
    <row r="108" spans="1:26" ht="13.8" thickBot="1" x14ac:dyDescent="0.3">
      <c r="B108" s="44"/>
      <c r="C108" s="45" t="s">
        <v>790</v>
      </c>
      <c r="D108" s="46"/>
      <c r="E108" s="44"/>
      <c r="F108" s="94">
        <v>1500</v>
      </c>
      <c r="G108" s="44" t="s">
        <v>647</v>
      </c>
      <c r="H108" s="73">
        <v>6</v>
      </c>
      <c r="I108" s="49" t="s">
        <v>74</v>
      </c>
      <c r="J108" s="191">
        <f>F108*H108</f>
        <v>9000</v>
      </c>
      <c r="K108" s="44" t="s">
        <v>57</v>
      </c>
      <c r="L108" s="44" t="s">
        <v>764</v>
      </c>
      <c r="M108" s="46"/>
    </row>
    <row r="109" spans="1:26" ht="13.8" thickBot="1" x14ac:dyDescent="0.3">
      <c r="B109" s="44"/>
      <c r="C109" s="44" t="s">
        <v>726</v>
      </c>
      <c r="D109" s="45"/>
      <c r="E109" s="44"/>
      <c r="F109" s="94"/>
      <c r="G109" s="44" t="s">
        <v>647</v>
      </c>
      <c r="H109" s="73"/>
      <c r="I109" s="49" t="s">
        <v>74</v>
      </c>
      <c r="J109" s="191">
        <f t="shared" ref="J109:J112" si="6">F109*H109</f>
        <v>0</v>
      </c>
      <c r="K109" s="44" t="s">
        <v>57</v>
      </c>
      <c r="L109" s="46"/>
      <c r="M109" s="46"/>
    </row>
    <row r="110" spans="1:26" ht="13.8" thickBot="1" x14ac:dyDescent="0.3">
      <c r="B110" s="44"/>
      <c r="C110" s="44" t="s">
        <v>726</v>
      </c>
      <c r="D110" s="45"/>
      <c r="E110" s="44"/>
      <c r="F110" s="94"/>
      <c r="G110" s="44" t="s">
        <v>647</v>
      </c>
      <c r="H110" s="73"/>
      <c r="I110" s="49" t="s">
        <v>74</v>
      </c>
      <c r="J110" s="191">
        <f t="shared" si="6"/>
        <v>0</v>
      </c>
      <c r="K110" s="44" t="s">
        <v>57</v>
      </c>
      <c r="L110" s="46"/>
      <c r="M110" s="46"/>
    </row>
    <row r="111" spans="1:26" ht="13.8" thickBot="1" x14ac:dyDescent="0.3">
      <c r="B111" s="44"/>
      <c r="C111" s="44"/>
      <c r="D111" s="50"/>
      <c r="E111" s="44"/>
      <c r="F111" s="44"/>
      <c r="G111" s="44"/>
      <c r="H111" s="49"/>
      <c r="I111" s="49"/>
      <c r="J111" s="191"/>
      <c r="K111" s="44"/>
      <c r="L111" s="46"/>
      <c r="M111" s="46"/>
    </row>
    <row r="112" spans="1:26" ht="13.8" thickBot="1" x14ac:dyDescent="0.3">
      <c r="B112" s="44"/>
      <c r="C112" s="44" t="s">
        <v>791</v>
      </c>
      <c r="D112" s="50"/>
      <c r="E112" s="44"/>
      <c r="F112" s="94">
        <v>20</v>
      </c>
      <c r="G112" s="44" t="s">
        <v>8</v>
      </c>
      <c r="H112" s="77">
        <v>4</v>
      </c>
      <c r="I112" s="49" t="s">
        <v>206</v>
      </c>
      <c r="J112" s="191">
        <f t="shared" si="6"/>
        <v>80</v>
      </c>
      <c r="K112" s="44" t="s">
        <v>57</v>
      </c>
      <c r="L112" s="46"/>
      <c r="M112" s="46"/>
    </row>
    <row r="113" spans="1:26" ht="13.8" thickBot="1" x14ac:dyDescent="0.3">
      <c r="B113" s="44"/>
      <c r="C113" s="44" t="s">
        <v>598</v>
      </c>
      <c r="D113" s="50"/>
      <c r="E113" s="44"/>
      <c r="F113" s="94"/>
      <c r="G113" s="44" t="s">
        <v>8</v>
      </c>
      <c r="H113" s="77"/>
      <c r="I113" s="49" t="s">
        <v>206</v>
      </c>
      <c r="J113" s="191"/>
      <c r="K113" s="44" t="s">
        <v>57</v>
      </c>
      <c r="L113" s="46"/>
      <c r="M113" s="46"/>
    </row>
    <row r="114" spans="1:26" s="5" customFormat="1" x14ac:dyDescent="0.25">
      <c r="A114" s="305"/>
      <c r="B114" s="50"/>
      <c r="C114" s="50" t="s">
        <v>54</v>
      </c>
      <c r="D114" s="50"/>
      <c r="E114" s="50"/>
      <c r="F114" s="218"/>
      <c r="G114" s="50"/>
      <c r="H114" s="219"/>
      <c r="I114" s="219"/>
      <c r="J114" s="220">
        <f>SUM(J108:J113)</f>
        <v>9080</v>
      </c>
      <c r="K114" s="50" t="s">
        <v>57</v>
      </c>
      <c r="L114" s="50"/>
      <c r="M114" s="50"/>
      <c r="N114"/>
      <c r="O114"/>
      <c r="P114"/>
      <c r="Q114"/>
      <c r="R114"/>
      <c r="S114"/>
      <c r="T114"/>
      <c r="U114"/>
      <c r="Y114"/>
      <c r="Z114"/>
    </row>
    <row r="115" spans="1:26" x14ac:dyDescent="0.25">
      <c r="B115" s="44"/>
      <c r="C115" s="44"/>
      <c r="D115" s="50"/>
      <c r="E115" s="44"/>
      <c r="F115" s="47"/>
      <c r="G115" s="44"/>
      <c r="H115" s="49"/>
      <c r="I115" s="49"/>
      <c r="J115" s="46"/>
      <c r="K115" s="44"/>
      <c r="L115" s="46"/>
      <c r="M115" s="46"/>
      <c r="N115" s="5"/>
      <c r="O115" s="5"/>
      <c r="P115" s="5"/>
      <c r="Q115" s="5"/>
      <c r="R115" s="5"/>
      <c r="S115" s="5"/>
      <c r="T115" s="5"/>
      <c r="U115" s="5"/>
      <c r="Y115" s="5"/>
      <c r="Z115" s="5"/>
    </row>
    <row r="116" spans="1:26" ht="37.200000000000003" customHeight="1" x14ac:dyDescent="0.25">
      <c r="B116" s="435"/>
      <c r="C116" s="435"/>
      <c r="D116" s="436"/>
      <c r="E116" s="435"/>
      <c r="F116" s="435"/>
      <c r="G116" s="435"/>
      <c r="H116" s="437"/>
      <c r="I116" s="437"/>
      <c r="J116" s="116"/>
      <c r="K116" s="116"/>
      <c r="L116" s="116"/>
      <c r="M116" s="116"/>
    </row>
    <row r="117" spans="1:26" ht="15.6" x14ac:dyDescent="0.3">
      <c r="B117" s="96" t="s">
        <v>792</v>
      </c>
      <c r="C117" s="97"/>
      <c r="D117" s="97"/>
      <c r="E117" s="97"/>
      <c r="F117" s="1074" t="s">
        <v>114</v>
      </c>
      <c r="G117" s="1074"/>
      <c r="H117" s="1074" t="s">
        <v>113</v>
      </c>
      <c r="I117" s="1074"/>
      <c r="J117" s="1074" t="s">
        <v>243</v>
      </c>
      <c r="K117" s="1074"/>
      <c r="L117" s="99"/>
      <c r="M117" s="99"/>
    </row>
    <row r="118" spans="1:26" ht="13.8" thickBot="1" x14ac:dyDescent="0.3">
      <c r="B118" s="97"/>
      <c r="C118" s="97"/>
      <c r="D118" s="97"/>
      <c r="E118" s="97"/>
      <c r="F118" s="97"/>
      <c r="G118" s="97"/>
      <c r="H118" s="98"/>
      <c r="I118" s="98"/>
      <c r="J118" s="99"/>
      <c r="K118" s="99"/>
      <c r="L118" s="99"/>
      <c r="M118" s="99"/>
    </row>
    <row r="119" spans="1:26" ht="13.8" thickBot="1" x14ac:dyDescent="0.3">
      <c r="B119" s="97"/>
      <c r="C119" s="97" t="s">
        <v>600</v>
      </c>
      <c r="D119" s="99"/>
      <c r="E119" s="97"/>
      <c r="F119" s="94">
        <v>500</v>
      </c>
      <c r="G119" s="97" t="s">
        <v>212</v>
      </c>
      <c r="H119" s="77">
        <v>1.05</v>
      </c>
      <c r="I119" s="98" t="s">
        <v>206</v>
      </c>
      <c r="J119" s="190">
        <f>F119*H119</f>
        <v>525</v>
      </c>
      <c r="K119" s="97" t="s">
        <v>57</v>
      </c>
      <c r="L119" s="99"/>
      <c r="M119" s="99"/>
    </row>
    <row r="120" spans="1:26" ht="13.8" thickBot="1" x14ac:dyDescent="0.3">
      <c r="B120" s="97"/>
      <c r="C120" s="97" t="s">
        <v>793</v>
      </c>
      <c r="D120" s="99"/>
      <c r="E120" s="97"/>
      <c r="F120" s="94">
        <v>500</v>
      </c>
      <c r="G120" s="97" t="s">
        <v>212</v>
      </c>
      <c r="H120" s="77">
        <v>0.95</v>
      </c>
      <c r="I120" s="98" t="s">
        <v>206</v>
      </c>
      <c r="J120" s="190">
        <f>F120*H120</f>
        <v>475</v>
      </c>
      <c r="K120" s="97" t="s">
        <v>57</v>
      </c>
      <c r="L120" s="99"/>
      <c r="M120" s="99"/>
    </row>
    <row r="121" spans="1:26" ht="13.8" thickBot="1" x14ac:dyDescent="0.3">
      <c r="B121" s="97"/>
      <c r="C121" s="97" t="s">
        <v>728</v>
      </c>
      <c r="D121" s="99"/>
      <c r="E121" s="97"/>
      <c r="F121" s="94">
        <v>7000</v>
      </c>
      <c r="G121" s="97" t="s">
        <v>212</v>
      </c>
      <c r="H121" s="77">
        <v>0.46</v>
      </c>
      <c r="I121" s="98" t="s">
        <v>206</v>
      </c>
      <c r="J121" s="190">
        <f>F121*H121</f>
        <v>3220</v>
      </c>
      <c r="K121" s="97" t="s">
        <v>57</v>
      </c>
      <c r="L121" s="99"/>
      <c r="M121" s="99"/>
    </row>
    <row r="122" spans="1:26" ht="13.8" thickBot="1" x14ac:dyDescent="0.3">
      <c r="B122" s="97"/>
      <c r="C122" s="97" t="s">
        <v>673</v>
      </c>
      <c r="D122" s="99"/>
      <c r="E122" s="97"/>
      <c r="F122" s="94">
        <v>600</v>
      </c>
      <c r="G122" s="97" t="s">
        <v>674</v>
      </c>
      <c r="H122" s="77">
        <v>13</v>
      </c>
      <c r="I122" s="98" t="s">
        <v>415</v>
      </c>
      <c r="J122" s="190">
        <f t="shared" ref="J122:J124" si="7">F122*H122</f>
        <v>7800</v>
      </c>
      <c r="K122" s="97" t="s">
        <v>57</v>
      </c>
      <c r="L122" s="99"/>
      <c r="M122" s="99"/>
    </row>
    <row r="123" spans="1:26" ht="13.8" thickBot="1" x14ac:dyDescent="0.3">
      <c r="B123" s="97"/>
      <c r="C123" s="97" t="s">
        <v>251</v>
      </c>
      <c r="D123" s="97"/>
      <c r="E123" s="97"/>
      <c r="F123" s="74"/>
      <c r="G123" s="97" t="s">
        <v>212</v>
      </c>
      <c r="H123" s="77"/>
      <c r="I123" s="98" t="s">
        <v>206</v>
      </c>
      <c r="J123" s="190">
        <f t="shared" si="7"/>
        <v>0</v>
      </c>
      <c r="K123" s="97" t="s">
        <v>57</v>
      </c>
      <c r="L123" s="99"/>
      <c r="M123" s="99"/>
    </row>
    <row r="124" spans="1:26" ht="13.8" thickBot="1" x14ac:dyDescent="0.3">
      <c r="B124" s="97"/>
      <c r="C124" s="97" t="s">
        <v>251</v>
      </c>
      <c r="D124" s="97"/>
      <c r="E124" s="97"/>
      <c r="F124" s="74"/>
      <c r="G124" s="97" t="s">
        <v>212</v>
      </c>
      <c r="H124" s="76"/>
      <c r="I124" s="98" t="s">
        <v>206</v>
      </c>
      <c r="J124" s="190">
        <f t="shared" si="7"/>
        <v>0</v>
      </c>
      <c r="K124" s="97" t="s">
        <v>57</v>
      </c>
      <c r="L124" s="99"/>
      <c r="M124" s="99"/>
    </row>
    <row r="125" spans="1:26" s="5" customFormat="1" x14ac:dyDescent="0.25">
      <c r="A125" s="305"/>
      <c r="B125" s="214"/>
      <c r="C125" s="214" t="s">
        <v>54</v>
      </c>
      <c r="D125" s="214"/>
      <c r="E125" s="214"/>
      <c r="F125" s="214"/>
      <c r="G125" s="214"/>
      <c r="H125" s="216"/>
      <c r="I125" s="215"/>
      <c r="J125" s="217">
        <f>SUM(J119:J124)</f>
        <v>12020</v>
      </c>
      <c r="K125" s="214" t="s">
        <v>57</v>
      </c>
      <c r="L125" s="214"/>
      <c r="M125" s="214"/>
      <c r="N125"/>
      <c r="O125"/>
      <c r="P125"/>
      <c r="Q125"/>
      <c r="R125"/>
      <c r="S125"/>
      <c r="T125"/>
      <c r="U125"/>
      <c r="Y125"/>
      <c r="Z125"/>
    </row>
    <row r="126" spans="1:26" x14ac:dyDescent="0.25">
      <c r="B126" s="97"/>
      <c r="C126" s="97"/>
      <c r="D126" s="97"/>
      <c r="E126" s="97"/>
      <c r="F126" s="97"/>
      <c r="G126" s="97"/>
      <c r="H126" s="98"/>
      <c r="I126" s="98"/>
      <c r="J126" s="99"/>
      <c r="K126" s="99"/>
      <c r="L126" s="99"/>
      <c r="M126" s="99"/>
      <c r="N126" s="5"/>
      <c r="O126" s="5"/>
      <c r="P126" s="5"/>
      <c r="Q126" s="5"/>
      <c r="R126" s="5"/>
      <c r="S126" s="5"/>
      <c r="T126" s="5"/>
      <c r="U126" s="5"/>
      <c r="Y126" s="5"/>
      <c r="Z126" s="5"/>
    </row>
    <row r="127" spans="1:26" ht="33" customHeight="1" x14ac:dyDescent="0.25">
      <c r="B127" s="435"/>
      <c r="C127" s="435"/>
      <c r="D127" s="435"/>
      <c r="E127" s="435"/>
      <c r="F127" s="435"/>
      <c r="G127" s="435"/>
      <c r="H127" s="437"/>
      <c r="I127" s="437"/>
      <c r="J127" s="116"/>
      <c r="K127" s="116"/>
      <c r="L127" s="116"/>
      <c r="M127" s="116"/>
    </row>
    <row r="128" spans="1:26" ht="15.6" x14ac:dyDescent="0.3">
      <c r="B128" s="85" t="s">
        <v>675</v>
      </c>
      <c r="C128" s="51"/>
      <c r="D128" s="51"/>
      <c r="E128" s="51"/>
      <c r="F128" s="1075" t="s">
        <v>114</v>
      </c>
      <c r="G128" s="1075"/>
      <c r="H128" s="1076" t="s">
        <v>113</v>
      </c>
      <c r="I128" s="1076"/>
      <c r="J128" s="1075" t="s">
        <v>243</v>
      </c>
      <c r="K128" s="1075"/>
      <c r="L128" s="58"/>
      <c r="M128" s="58"/>
    </row>
    <row r="129" spans="1:26" ht="15.6" x14ac:dyDescent="0.3">
      <c r="B129" s="85"/>
      <c r="C129" s="51"/>
      <c r="D129" s="387" t="s">
        <v>253</v>
      </c>
      <c r="E129" s="51"/>
      <c r="F129" s="59"/>
      <c r="G129" s="59"/>
      <c r="H129" s="60"/>
      <c r="I129" s="60"/>
      <c r="J129" s="59"/>
      <c r="K129" s="59"/>
      <c r="L129" s="58"/>
      <c r="M129" s="58"/>
    </row>
    <row r="130" spans="1:26" ht="13.8" thickBot="1" x14ac:dyDescent="0.3">
      <c r="B130" s="171" t="s">
        <v>254</v>
      </c>
      <c r="C130" s="51"/>
      <c r="D130" s="51"/>
      <c r="E130" s="51"/>
      <c r="F130" s="53"/>
      <c r="G130" s="53"/>
      <c r="H130" s="52"/>
      <c r="I130" s="52"/>
      <c r="J130" s="58"/>
      <c r="K130" s="58"/>
      <c r="L130" s="58"/>
      <c r="M130" s="58"/>
    </row>
    <row r="131" spans="1:26" ht="13.8" thickBot="1" x14ac:dyDescent="0.3">
      <c r="B131" s="51"/>
      <c r="C131" s="51" t="s">
        <v>603</v>
      </c>
      <c r="D131" s="58"/>
      <c r="E131" s="51"/>
      <c r="F131" s="95">
        <v>3.3</v>
      </c>
      <c r="G131" s="53" t="s">
        <v>256</v>
      </c>
      <c r="H131" s="77">
        <v>16.8</v>
      </c>
      <c r="I131" s="52" t="s">
        <v>257</v>
      </c>
      <c r="J131" s="58">
        <f>F131*H131</f>
        <v>55.44</v>
      </c>
      <c r="K131" s="51" t="s">
        <v>57</v>
      </c>
      <c r="L131" s="58"/>
      <c r="M131" s="58"/>
    </row>
    <row r="132" spans="1:26" ht="13.8" thickBot="1" x14ac:dyDescent="0.3">
      <c r="B132" s="51"/>
      <c r="C132" s="51" t="s">
        <v>265</v>
      </c>
      <c r="D132" s="51"/>
      <c r="E132" s="51"/>
      <c r="F132" s="95"/>
      <c r="G132" s="53" t="s">
        <v>256</v>
      </c>
      <c r="H132" s="77"/>
      <c r="I132" s="52" t="s">
        <v>257</v>
      </c>
      <c r="J132" s="58">
        <f t="shared" ref="J132:J138" si="8">F132*H132</f>
        <v>0</v>
      </c>
      <c r="K132" s="51" t="s">
        <v>57</v>
      </c>
      <c r="L132" s="58"/>
      <c r="M132" s="58"/>
    </row>
    <row r="133" spans="1:26" ht="13.8" thickBot="1" x14ac:dyDescent="0.3">
      <c r="B133" s="51"/>
      <c r="C133" s="51" t="s">
        <v>265</v>
      </c>
      <c r="D133" s="51"/>
      <c r="E133" s="51"/>
      <c r="F133" s="95"/>
      <c r="G133" s="53" t="s">
        <v>256</v>
      </c>
      <c r="H133" s="77"/>
      <c r="I133" s="52" t="s">
        <v>257</v>
      </c>
      <c r="J133" s="58">
        <f t="shared" si="8"/>
        <v>0</v>
      </c>
      <c r="K133" s="51" t="s">
        <v>57</v>
      </c>
      <c r="L133" s="58"/>
      <c r="M133" s="58"/>
    </row>
    <row r="134" spans="1:26" x14ac:dyDescent="0.25">
      <c r="B134" s="51"/>
      <c r="C134" s="51"/>
      <c r="D134" s="51"/>
      <c r="E134" s="51"/>
      <c r="F134" s="53"/>
      <c r="G134" s="53"/>
      <c r="H134" s="52"/>
      <c r="I134" s="52"/>
      <c r="J134" s="58"/>
      <c r="K134" s="51"/>
      <c r="L134" s="58"/>
      <c r="M134" s="58"/>
    </row>
    <row r="135" spans="1:26" ht="13.8" thickBot="1" x14ac:dyDescent="0.3">
      <c r="B135" s="171" t="s">
        <v>266</v>
      </c>
      <c r="C135" s="51"/>
      <c r="D135" s="51"/>
      <c r="E135" s="51"/>
      <c r="F135" s="53"/>
      <c r="G135" s="53"/>
      <c r="H135" s="52"/>
      <c r="I135" s="52"/>
      <c r="J135" s="58"/>
      <c r="K135" s="51"/>
      <c r="L135" s="58"/>
      <c r="M135" s="58"/>
    </row>
    <row r="136" spans="1:26" ht="13.8" thickBot="1" x14ac:dyDescent="0.3">
      <c r="B136" s="51"/>
      <c r="C136" s="51" t="s">
        <v>267</v>
      </c>
      <c r="D136" s="51"/>
      <c r="E136" s="51"/>
      <c r="F136" s="95"/>
      <c r="G136" s="53"/>
      <c r="H136" s="95"/>
      <c r="I136" s="52"/>
      <c r="J136" s="58">
        <f t="shared" si="8"/>
        <v>0</v>
      </c>
      <c r="K136" s="51" t="s">
        <v>57</v>
      </c>
      <c r="L136" s="58"/>
      <c r="M136" s="58"/>
    </row>
    <row r="137" spans="1:26" ht="13.8" thickBot="1" x14ac:dyDescent="0.3">
      <c r="B137" s="51"/>
      <c r="C137" s="51" t="s">
        <v>267</v>
      </c>
      <c r="D137" s="51"/>
      <c r="E137" s="51"/>
      <c r="F137" s="95"/>
      <c r="G137" s="53"/>
      <c r="H137" s="95"/>
      <c r="I137" s="52"/>
      <c r="J137" s="58">
        <f t="shared" si="8"/>
        <v>0</v>
      </c>
      <c r="K137" s="51" t="s">
        <v>57</v>
      </c>
      <c r="L137" s="58"/>
      <c r="M137" s="58"/>
    </row>
    <row r="138" spans="1:26" ht="13.8" thickBot="1" x14ac:dyDescent="0.3">
      <c r="B138" s="51"/>
      <c r="C138" s="51" t="s">
        <v>267</v>
      </c>
      <c r="D138" s="51"/>
      <c r="E138" s="51"/>
      <c r="F138" s="95"/>
      <c r="G138" s="53"/>
      <c r="H138" s="95"/>
      <c r="I138" s="52"/>
      <c r="J138" s="58">
        <f t="shared" si="8"/>
        <v>0</v>
      </c>
      <c r="K138" s="51" t="s">
        <v>57</v>
      </c>
      <c r="L138" s="58"/>
      <c r="M138" s="58"/>
    </row>
    <row r="139" spans="1:26" s="5" customFormat="1" x14ac:dyDescent="0.25">
      <c r="A139" s="305"/>
      <c r="B139" s="195"/>
      <c r="C139" s="195" t="s">
        <v>54</v>
      </c>
      <c r="D139" s="195"/>
      <c r="E139" s="195"/>
      <c r="F139" s="196"/>
      <c r="G139" s="196"/>
      <c r="H139" s="196"/>
      <c r="I139" s="197"/>
      <c r="J139" s="195">
        <f>SUM(J131:J138)</f>
        <v>55.44</v>
      </c>
      <c r="K139" s="195" t="s">
        <v>57</v>
      </c>
      <c r="L139" s="195"/>
      <c r="M139" s="195"/>
      <c r="N139"/>
      <c r="O139"/>
      <c r="P139"/>
      <c r="Q139"/>
      <c r="R139"/>
      <c r="S139"/>
      <c r="T139"/>
      <c r="U139"/>
      <c r="Y139"/>
      <c r="Z139"/>
    </row>
    <row r="140" spans="1:26" x14ac:dyDescent="0.25">
      <c r="B140" s="51"/>
      <c r="C140" s="51"/>
      <c r="D140" s="51"/>
      <c r="E140" s="51"/>
      <c r="F140" s="53"/>
      <c r="G140" s="53"/>
      <c r="H140" s="52"/>
      <c r="I140" s="52"/>
      <c r="J140" s="58"/>
      <c r="K140" s="51"/>
      <c r="L140" s="58"/>
      <c r="M140" s="58"/>
      <c r="N140" s="5"/>
      <c r="O140" s="5"/>
      <c r="P140" s="5"/>
      <c r="Q140" s="5"/>
      <c r="R140" s="5"/>
      <c r="S140" s="5"/>
      <c r="T140" s="5"/>
      <c r="U140" s="5"/>
      <c r="Y140" s="5"/>
      <c r="Z140" s="5"/>
    </row>
    <row r="141" spans="1:26" ht="30" customHeight="1" x14ac:dyDescent="0.25">
      <c r="B141" s="435"/>
      <c r="C141" s="435"/>
      <c r="D141" s="435"/>
      <c r="E141" s="435"/>
      <c r="F141" s="439"/>
      <c r="G141" s="439"/>
      <c r="H141" s="437"/>
      <c r="I141" s="437"/>
      <c r="J141" s="116"/>
      <c r="K141" s="435"/>
      <c r="L141" s="116"/>
      <c r="M141" s="116"/>
    </row>
    <row r="142" spans="1:26" ht="15.6" x14ac:dyDescent="0.3">
      <c r="B142" s="176" t="s">
        <v>604</v>
      </c>
      <c r="C142" s="177"/>
      <c r="D142" s="177"/>
      <c r="E142" s="177"/>
      <c r="F142" s="1067" t="s">
        <v>114</v>
      </c>
      <c r="G142" s="1067"/>
      <c r="H142" s="1067" t="s">
        <v>113</v>
      </c>
      <c r="I142" s="1067"/>
      <c r="J142" s="1067" t="s">
        <v>243</v>
      </c>
      <c r="K142" s="1067"/>
      <c r="L142" s="179"/>
      <c r="M142" s="179"/>
    </row>
    <row r="143" spans="1:26" ht="13.8" thickBot="1" x14ac:dyDescent="0.3">
      <c r="B143" s="177"/>
      <c r="C143" s="177"/>
      <c r="D143" s="177"/>
      <c r="E143" s="177"/>
      <c r="F143" s="177"/>
      <c r="G143" s="177"/>
      <c r="H143" s="178"/>
      <c r="I143" s="178"/>
      <c r="J143" s="179"/>
      <c r="K143" s="179"/>
      <c r="L143" s="179"/>
      <c r="M143" s="179"/>
    </row>
    <row r="144" spans="1:26" ht="13.8" thickBot="1" x14ac:dyDescent="0.3">
      <c r="B144" s="177"/>
      <c r="C144" s="177" t="s">
        <v>276</v>
      </c>
      <c r="D144" s="179"/>
      <c r="E144" s="177"/>
      <c r="F144" s="74"/>
      <c r="G144" s="177" t="s">
        <v>7</v>
      </c>
      <c r="H144" s="77"/>
      <c r="I144" s="178" t="s">
        <v>57</v>
      </c>
      <c r="J144" s="180">
        <f t="shared" ref="J144:J146" si="9">F144*H144</f>
        <v>0</v>
      </c>
      <c r="K144" s="177" t="s">
        <v>57</v>
      </c>
      <c r="L144" s="179"/>
      <c r="M144" s="179"/>
    </row>
    <row r="145" spans="1:26" ht="13.8" thickBot="1" x14ac:dyDescent="0.3">
      <c r="B145" s="177"/>
      <c r="C145" s="177" t="s">
        <v>276</v>
      </c>
      <c r="D145" s="177"/>
      <c r="E145" s="177"/>
      <c r="F145" s="74"/>
      <c r="G145" s="177" t="s">
        <v>7</v>
      </c>
      <c r="H145" s="77"/>
      <c r="I145" s="178" t="s">
        <v>57</v>
      </c>
      <c r="J145" s="180">
        <f t="shared" si="9"/>
        <v>0</v>
      </c>
      <c r="K145" s="177" t="s">
        <v>57</v>
      </c>
      <c r="L145" s="179"/>
      <c r="M145" s="179"/>
    </row>
    <row r="146" spans="1:26" ht="13.8" thickBot="1" x14ac:dyDescent="0.3">
      <c r="B146" s="177"/>
      <c r="C146" s="177" t="s">
        <v>276</v>
      </c>
      <c r="D146" s="177"/>
      <c r="E146" s="177"/>
      <c r="F146" s="74"/>
      <c r="G146" s="177" t="s">
        <v>7</v>
      </c>
      <c r="H146" s="77"/>
      <c r="I146" s="178" t="s">
        <v>57</v>
      </c>
      <c r="J146" s="180">
        <f t="shared" si="9"/>
        <v>0</v>
      </c>
      <c r="K146" s="177" t="s">
        <v>57</v>
      </c>
      <c r="L146" s="179"/>
      <c r="M146" s="179"/>
    </row>
    <row r="147" spans="1:26" s="5" customFormat="1" x14ac:dyDescent="0.25">
      <c r="A147" s="305"/>
      <c r="B147" s="204"/>
      <c r="C147" s="204" t="s">
        <v>54</v>
      </c>
      <c r="D147" s="204"/>
      <c r="E147" s="204"/>
      <c r="F147" s="204"/>
      <c r="G147" s="204"/>
      <c r="H147" s="205"/>
      <c r="I147" s="205"/>
      <c r="J147" s="206">
        <f>SUM(J144:J146)</f>
        <v>0</v>
      </c>
      <c r="K147" s="204" t="s">
        <v>57</v>
      </c>
      <c r="L147" s="204"/>
      <c r="M147" s="204"/>
      <c r="N147"/>
      <c r="O147"/>
      <c r="P147"/>
      <c r="Q147"/>
      <c r="R147"/>
      <c r="S147"/>
      <c r="T147"/>
      <c r="U147"/>
      <c r="Y147"/>
      <c r="Z147"/>
    </row>
    <row r="148" spans="1:26" x14ac:dyDescent="0.25">
      <c r="B148" s="177"/>
      <c r="C148" s="177"/>
      <c r="D148" s="177"/>
      <c r="E148" s="177"/>
      <c r="F148" s="177"/>
      <c r="G148" s="177"/>
      <c r="H148" s="178"/>
      <c r="I148" s="178"/>
      <c r="J148" s="180"/>
      <c r="K148" s="177"/>
      <c r="L148" s="179"/>
      <c r="M148" s="179"/>
      <c r="N148" s="5"/>
      <c r="O148" s="5"/>
      <c r="P148" s="5"/>
      <c r="Q148" s="5"/>
      <c r="R148" s="5"/>
      <c r="S148" s="5"/>
      <c r="T148" s="5"/>
      <c r="U148" s="5"/>
      <c r="Y148" s="5"/>
      <c r="Z148" s="5"/>
    </row>
    <row r="149" spans="1:26" ht="33" customHeight="1" x14ac:dyDescent="0.25">
      <c r="B149" s="116"/>
      <c r="C149" s="116"/>
      <c r="D149" s="116"/>
      <c r="E149" s="116"/>
      <c r="F149" s="116"/>
      <c r="G149" s="116"/>
      <c r="H149" s="116"/>
      <c r="I149" s="116"/>
      <c r="J149" s="116"/>
      <c r="K149" s="116"/>
      <c r="L149" s="116"/>
      <c r="M149" s="116"/>
    </row>
    <row r="150" spans="1:26" ht="15.6" x14ac:dyDescent="0.3">
      <c r="B150" s="181" t="s">
        <v>605</v>
      </c>
      <c r="C150" s="182"/>
      <c r="D150" s="182"/>
      <c r="E150" s="183"/>
      <c r="F150" s="182" t="s">
        <v>114</v>
      </c>
      <c r="G150" s="184"/>
      <c r="H150" s="184" t="s">
        <v>113</v>
      </c>
      <c r="I150" s="182"/>
      <c r="J150" s="182" t="s">
        <v>243</v>
      </c>
      <c r="K150" s="185"/>
      <c r="L150" s="185"/>
      <c r="M150" s="185"/>
    </row>
    <row r="151" spans="1:26" ht="16.2" thickBot="1" x14ac:dyDescent="0.35">
      <c r="B151" s="181"/>
      <c r="C151" s="182"/>
      <c r="D151" s="182"/>
      <c r="E151" s="183"/>
      <c r="F151" s="182"/>
      <c r="G151" s="184"/>
      <c r="H151" s="184"/>
      <c r="I151" s="182"/>
      <c r="J151" s="182"/>
      <c r="K151" s="185"/>
      <c r="L151" s="185"/>
      <c r="M151" s="185"/>
    </row>
    <row r="152" spans="1:26" ht="13.8" thickBot="1" x14ac:dyDescent="0.3">
      <c r="B152" s="182"/>
      <c r="C152" s="182" t="s">
        <v>278</v>
      </c>
      <c r="D152" s="185"/>
      <c r="E152" s="186"/>
      <c r="F152" s="74"/>
      <c r="G152" s="187" t="s">
        <v>279</v>
      </c>
      <c r="H152" s="74"/>
      <c r="I152" s="188" t="s">
        <v>280</v>
      </c>
      <c r="J152" s="185">
        <f>H152*F152</f>
        <v>0</v>
      </c>
      <c r="K152" s="188" t="s">
        <v>57</v>
      </c>
      <c r="L152" s="185"/>
      <c r="M152" s="185"/>
    </row>
    <row r="153" spans="1:26" ht="13.8" thickBot="1" x14ac:dyDescent="0.3">
      <c r="B153" s="182"/>
      <c r="C153" s="182" t="s">
        <v>281</v>
      </c>
      <c r="D153" s="188">
        <f>F185/2</f>
        <v>82.75</v>
      </c>
      <c r="E153" s="182" t="s">
        <v>282</v>
      </c>
      <c r="F153" s="74">
        <f>+D153*8</f>
        <v>662</v>
      </c>
      <c r="G153" s="184" t="s">
        <v>256</v>
      </c>
      <c r="H153" s="74">
        <v>0.83</v>
      </c>
      <c r="I153" s="188" t="s">
        <v>257</v>
      </c>
      <c r="J153" s="185">
        <f>H153*F153</f>
        <v>549.45999999999992</v>
      </c>
      <c r="K153" s="188" t="s">
        <v>57</v>
      </c>
      <c r="L153" s="185"/>
      <c r="M153" s="185"/>
    </row>
    <row r="154" spans="1:26" ht="13.8" thickBot="1" x14ac:dyDescent="0.3">
      <c r="B154" s="182"/>
      <c r="C154" s="182" t="s">
        <v>686</v>
      </c>
      <c r="D154" s="188">
        <f>D153</f>
        <v>82.75</v>
      </c>
      <c r="E154" s="182" t="s">
        <v>282</v>
      </c>
      <c r="F154" s="74">
        <v>11.88</v>
      </c>
      <c r="G154" s="184" t="s">
        <v>212</v>
      </c>
      <c r="H154" s="74">
        <v>4</v>
      </c>
      <c r="I154" s="188" t="s">
        <v>206</v>
      </c>
      <c r="J154" s="185">
        <f t="shared" ref="J154:J158" si="10">H154*F154</f>
        <v>47.52</v>
      </c>
      <c r="K154" s="188" t="s">
        <v>57</v>
      </c>
      <c r="L154" s="185"/>
      <c r="M154" s="185"/>
    </row>
    <row r="155" spans="1:26" ht="13.8" thickBot="1" x14ac:dyDescent="0.3">
      <c r="B155" s="182"/>
      <c r="C155" s="182" t="s">
        <v>284</v>
      </c>
      <c r="D155" s="185"/>
      <c r="E155" s="188"/>
      <c r="F155" s="74">
        <v>200</v>
      </c>
      <c r="G155" s="184" t="s">
        <v>256</v>
      </c>
      <c r="H155" s="74">
        <v>1.53</v>
      </c>
      <c r="I155" s="188" t="s">
        <v>257</v>
      </c>
      <c r="J155" s="185">
        <f t="shared" si="10"/>
        <v>306</v>
      </c>
      <c r="K155" s="188" t="s">
        <v>57</v>
      </c>
      <c r="L155" s="185"/>
      <c r="M155" s="185"/>
    </row>
    <row r="156" spans="1:26" ht="13.8" thickBot="1" x14ac:dyDescent="0.3">
      <c r="B156" s="182"/>
      <c r="C156" s="182" t="s">
        <v>285</v>
      </c>
      <c r="D156" s="185"/>
      <c r="E156" s="188"/>
      <c r="F156" s="74">
        <v>1.48</v>
      </c>
      <c r="G156" s="184" t="s">
        <v>256</v>
      </c>
      <c r="H156" s="74">
        <v>1.6</v>
      </c>
      <c r="I156" s="188" t="s">
        <v>257</v>
      </c>
      <c r="J156" s="185">
        <f t="shared" si="10"/>
        <v>2.3679999999999999</v>
      </c>
      <c r="K156" s="188" t="s">
        <v>57</v>
      </c>
      <c r="L156" s="185"/>
      <c r="M156" s="185"/>
    </row>
    <row r="157" spans="1:26" ht="13.8" thickBot="1" x14ac:dyDescent="0.3">
      <c r="B157" s="182"/>
      <c r="C157" s="182" t="s">
        <v>423</v>
      </c>
      <c r="D157" s="185"/>
      <c r="E157" s="188"/>
      <c r="F157" s="74"/>
      <c r="G157" s="184"/>
      <c r="H157" s="74"/>
      <c r="I157" s="188"/>
      <c r="J157" s="185">
        <f t="shared" si="10"/>
        <v>0</v>
      </c>
      <c r="K157" s="188" t="s">
        <v>57</v>
      </c>
      <c r="L157" s="185"/>
      <c r="M157" s="185"/>
    </row>
    <row r="158" spans="1:26" ht="13.8" thickBot="1" x14ac:dyDescent="0.3">
      <c r="B158" s="185"/>
      <c r="C158" s="207" t="s">
        <v>423</v>
      </c>
      <c r="D158" s="185"/>
      <c r="E158" s="185"/>
      <c r="F158" s="74"/>
      <c r="G158" s="185"/>
      <c r="H158" s="74"/>
      <c r="I158" s="185"/>
      <c r="J158" s="185">
        <f t="shared" si="10"/>
        <v>0</v>
      </c>
      <c r="K158" s="188" t="s">
        <v>57</v>
      </c>
      <c r="L158" s="185"/>
      <c r="M158" s="185"/>
    </row>
    <row r="159" spans="1:26" s="5" customFormat="1" x14ac:dyDescent="0.25">
      <c r="A159" s="305"/>
      <c r="B159" s="207"/>
      <c r="C159" s="207" t="s">
        <v>54</v>
      </c>
      <c r="D159" s="207"/>
      <c r="E159" s="207"/>
      <c r="F159" s="207"/>
      <c r="G159" s="207"/>
      <c r="H159" s="207"/>
      <c r="I159" s="207"/>
      <c r="J159" s="207">
        <f>SUM(J152:J158)</f>
        <v>905.34799999999996</v>
      </c>
      <c r="K159" s="208" t="s">
        <v>57</v>
      </c>
      <c r="L159" s="207"/>
      <c r="M159" s="207"/>
      <c r="N159"/>
      <c r="O159"/>
      <c r="P159"/>
      <c r="Q159"/>
      <c r="R159"/>
      <c r="S159"/>
      <c r="T159"/>
      <c r="U159"/>
      <c r="Y159"/>
      <c r="Z159"/>
    </row>
    <row r="160" spans="1:26" x14ac:dyDescent="0.25">
      <c r="B160" s="185"/>
      <c r="C160" s="185"/>
      <c r="D160" s="185"/>
      <c r="E160" s="185"/>
      <c r="F160" s="185"/>
      <c r="G160" s="185"/>
      <c r="H160" s="185"/>
      <c r="I160" s="185"/>
      <c r="J160" s="185"/>
      <c r="K160" s="185"/>
      <c r="L160" s="185"/>
      <c r="M160" s="185"/>
      <c r="N160" s="5"/>
      <c r="O160" s="5"/>
      <c r="P160" s="5"/>
      <c r="Q160" s="5"/>
      <c r="R160" s="5"/>
      <c r="S160" s="5"/>
      <c r="T160" s="5"/>
      <c r="U160" s="5"/>
      <c r="Y160" s="5"/>
      <c r="Z160" s="5"/>
    </row>
    <row r="161" spans="2:13" ht="34.950000000000003" customHeight="1" x14ac:dyDescent="0.25">
      <c r="B161" s="116"/>
      <c r="C161" s="116"/>
      <c r="D161" s="116"/>
      <c r="E161" s="116"/>
      <c r="F161" s="116"/>
      <c r="G161" s="116"/>
      <c r="H161" s="116"/>
      <c r="I161" s="116"/>
      <c r="J161" s="116"/>
      <c r="K161" s="116"/>
      <c r="L161" s="116"/>
      <c r="M161" s="116"/>
    </row>
    <row r="162" spans="2:13" ht="22.2" customHeight="1" x14ac:dyDescent="0.3">
      <c r="B162" s="88" t="s">
        <v>606</v>
      </c>
      <c r="C162" s="79"/>
      <c r="D162" s="79"/>
      <c r="E162" s="79"/>
      <c r="F162" s="79"/>
      <c r="G162" s="79"/>
      <c r="H162" s="79"/>
      <c r="I162" s="79"/>
      <c r="J162" s="79"/>
      <c r="K162" s="79"/>
      <c r="L162" s="79"/>
      <c r="M162" s="79"/>
    </row>
    <row r="163" spans="2:13" ht="22.2" customHeight="1" x14ac:dyDescent="0.3">
      <c r="B163" s="88"/>
      <c r="C163" s="79"/>
      <c r="D163" s="79"/>
      <c r="E163" s="79"/>
      <c r="F163" s="79"/>
      <c r="G163" s="79"/>
      <c r="H163" s="79"/>
      <c r="I163" s="79"/>
      <c r="J163" s="79"/>
      <c r="K163" s="79"/>
      <c r="L163" s="79"/>
      <c r="M163" s="79"/>
    </row>
    <row r="164" spans="2:13" ht="49.95" customHeight="1" x14ac:dyDescent="0.25">
      <c r="B164" s="1096" t="s">
        <v>699</v>
      </c>
      <c r="C164" s="1096"/>
      <c r="D164" s="1096"/>
      <c r="E164" s="1096"/>
      <c r="F164" s="1096"/>
      <c r="G164" s="1096"/>
      <c r="H164" s="1096"/>
      <c r="I164" s="1096"/>
      <c r="J164" s="1096"/>
      <c r="K164" s="1096"/>
      <c r="L164" s="1096"/>
      <c r="M164" s="1096"/>
    </row>
    <row r="165" spans="2:13" ht="22.2" customHeight="1" x14ac:dyDescent="0.3">
      <c r="B165" s="88"/>
      <c r="C165" s="79"/>
      <c r="D165" s="79"/>
      <c r="E165" s="83"/>
      <c r="F165" s="83"/>
      <c r="G165" s="83"/>
      <c r="H165" s="84"/>
      <c r="I165" s="84"/>
      <c r="J165" s="83"/>
      <c r="K165" s="83"/>
      <c r="L165" s="84"/>
      <c r="M165" s="84"/>
    </row>
    <row r="166" spans="2:13" ht="22.2" customHeight="1" x14ac:dyDescent="0.3">
      <c r="B166" s="88"/>
      <c r="C166" s="79"/>
      <c r="D166" s="79"/>
      <c r="E166" s="1069" t="s">
        <v>290</v>
      </c>
      <c r="F166" s="1069"/>
      <c r="G166" s="1069"/>
      <c r="H166" s="1070" t="s">
        <v>113</v>
      </c>
      <c r="I166" s="1070"/>
      <c r="J166" s="1069" t="s">
        <v>291</v>
      </c>
      <c r="K166" s="1069"/>
      <c r="L166" s="1070" t="s">
        <v>113</v>
      </c>
      <c r="M166" s="1070"/>
    </row>
    <row r="167" spans="2:13" ht="10.95" customHeight="1" thickBot="1" x14ac:dyDescent="0.3">
      <c r="B167" s="78"/>
      <c r="C167" s="79"/>
      <c r="D167" s="79"/>
      <c r="E167" s="79"/>
      <c r="F167" s="79"/>
      <c r="G167" s="79"/>
      <c r="H167" s="79"/>
      <c r="I167" s="79"/>
      <c r="J167" s="79"/>
      <c r="K167" s="79"/>
      <c r="L167" s="79"/>
      <c r="M167" s="79"/>
    </row>
    <row r="168" spans="2:13" ht="13.8" thickBot="1" x14ac:dyDescent="0.3">
      <c r="B168" s="79"/>
      <c r="C168" s="80" t="s">
        <v>292</v>
      </c>
      <c r="D168" s="79"/>
      <c r="E168" s="79"/>
      <c r="F168" s="91">
        <v>2.5</v>
      </c>
      <c r="G168" s="82" t="s">
        <v>293</v>
      </c>
      <c r="H168" s="93">
        <v>14.5</v>
      </c>
      <c r="I168" s="82" t="s">
        <v>294</v>
      </c>
      <c r="J168" s="92"/>
      <c r="K168" s="82" t="s">
        <v>293</v>
      </c>
      <c r="L168" s="93">
        <v>14.5</v>
      </c>
      <c r="M168" s="82" t="s">
        <v>294</v>
      </c>
    </row>
    <row r="169" spans="2:13" ht="13.8" thickBot="1" x14ac:dyDescent="0.3">
      <c r="B169" s="79"/>
      <c r="C169" s="80" t="s">
        <v>678</v>
      </c>
      <c r="D169" s="79"/>
      <c r="E169" s="79"/>
      <c r="F169" s="91">
        <v>2</v>
      </c>
      <c r="G169" s="82" t="s">
        <v>293</v>
      </c>
      <c r="H169" s="90">
        <f t="shared" ref="H169:H184" si="11">$H$168</f>
        <v>14.5</v>
      </c>
      <c r="I169" s="82" t="s">
        <v>294</v>
      </c>
      <c r="J169" s="92"/>
      <c r="K169" s="82" t="s">
        <v>293</v>
      </c>
      <c r="L169" s="90">
        <f t="shared" ref="L169:L184" si="12">$L$168</f>
        <v>14.5</v>
      </c>
      <c r="M169" s="82" t="s">
        <v>294</v>
      </c>
    </row>
    <row r="170" spans="2:13" ht="13.8" thickBot="1" x14ac:dyDescent="0.3">
      <c r="B170" s="79"/>
      <c r="C170" s="80" t="s">
        <v>297</v>
      </c>
      <c r="D170" s="79"/>
      <c r="E170" s="79"/>
      <c r="F170" s="91">
        <v>1</v>
      </c>
      <c r="G170" s="82" t="s">
        <v>293</v>
      </c>
      <c r="H170" s="90">
        <f t="shared" si="11"/>
        <v>14.5</v>
      </c>
      <c r="I170" s="82" t="s">
        <v>294</v>
      </c>
      <c r="J170" s="92"/>
      <c r="K170" s="82" t="s">
        <v>293</v>
      </c>
      <c r="L170" s="90">
        <f t="shared" si="12"/>
        <v>14.5</v>
      </c>
      <c r="M170" s="82" t="s">
        <v>294</v>
      </c>
    </row>
    <row r="171" spans="2:13" ht="13.8" thickBot="1" x14ac:dyDescent="0.3">
      <c r="B171" s="79"/>
      <c r="C171" s="80" t="s">
        <v>555</v>
      </c>
      <c r="D171" s="79"/>
      <c r="E171" s="79"/>
      <c r="F171" s="92">
        <v>2</v>
      </c>
      <c r="G171" s="82" t="s">
        <v>293</v>
      </c>
      <c r="H171" s="90">
        <f t="shared" si="11"/>
        <v>14.5</v>
      </c>
      <c r="I171" s="82" t="s">
        <v>294</v>
      </c>
      <c r="J171" s="92"/>
      <c r="K171" s="82" t="s">
        <v>293</v>
      </c>
      <c r="L171" s="90">
        <f t="shared" si="12"/>
        <v>14.5</v>
      </c>
      <c r="M171" s="82" t="s">
        <v>294</v>
      </c>
    </row>
    <row r="172" spans="2:13" ht="13.8" thickBot="1" x14ac:dyDescent="0.3">
      <c r="B172" s="79"/>
      <c r="C172" s="80" t="s">
        <v>732</v>
      </c>
      <c r="D172" s="79"/>
      <c r="E172" s="79"/>
      <c r="F172" s="92">
        <v>3</v>
      </c>
      <c r="G172" s="82" t="s">
        <v>293</v>
      </c>
      <c r="H172" s="90">
        <f t="shared" si="11"/>
        <v>14.5</v>
      </c>
      <c r="I172" s="82" t="s">
        <v>294</v>
      </c>
      <c r="J172" s="92"/>
      <c r="K172" s="82" t="s">
        <v>293</v>
      </c>
      <c r="L172" s="90">
        <f t="shared" si="12"/>
        <v>14.5</v>
      </c>
      <c r="M172" s="82" t="s">
        <v>294</v>
      </c>
    </row>
    <row r="173" spans="2:13" ht="13.8" thickBot="1" x14ac:dyDescent="0.3">
      <c r="B173" s="79"/>
      <c r="C173" s="80" t="s">
        <v>794</v>
      </c>
      <c r="D173" s="79"/>
      <c r="E173" s="79"/>
      <c r="F173" s="91">
        <v>8</v>
      </c>
      <c r="G173" s="82" t="s">
        <v>293</v>
      </c>
      <c r="H173" s="90">
        <f t="shared" si="11"/>
        <v>14.5</v>
      </c>
      <c r="I173" s="82" t="s">
        <v>294</v>
      </c>
      <c r="J173" s="92"/>
      <c r="K173" s="82" t="s">
        <v>293</v>
      </c>
      <c r="L173" s="90">
        <f t="shared" si="12"/>
        <v>14.5</v>
      </c>
      <c r="M173" s="82" t="s">
        <v>294</v>
      </c>
    </row>
    <row r="174" spans="2:13" ht="13.8" thickBot="1" x14ac:dyDescent="0.3">
      <c r="B174" s="79"/>
      <c r="C174" s="80" t="s">
        <v>298</v>
      </c>
      <c r="D174" s="79"/>
      <c r="E174" s="79"/>
      <c r="F174" s="91">
        <v>25</v>
      </c>
      <c r="G174" s="82" t="s">
        <v>293</v>
      </c>
      <c r="H174" s="90">
        <f t="shared" si="11"/>
        <v>14.5</v>
      </c>
      <c r="I174" s="82" t="s">
        <v>294</v>
      </c>
      <c r="J174" s="92">
        <v>25</v>
      </c>
      <c r="K174" s="82" t="s">
        <v>293</v>
      </c>
      <c r="L174" s="90">
        <f t="shared" si="12"/>
        <v>14.5</v>
      </c>
      <c r="M174" s="82" t="s">
        <v>294</v>
      </c>
    </row>
    <row r="175" spans="2:13" ht="13.8" thickBot="1" x14ac:dyDescent="0.3">
      <c r="B175" s="79"/>
      <c r="C175" s="80" t="s">
        <v>795</v>
      </c>
      <c r="D175" s="79"/>
      <c r="E175" s="79"/>
      <c r="F175" s="91">
        <v>16</v>
      </c>
      <c r="G175" s="82" t="s">
        <v>293</v>
      </c>
      <c r="H175" s="90">
        <f t="shared" si="11"/>
        <v>14.5</v>
      </c>
      <c r="I175" s="82" t="s">
        <v>294</v>
      </c>
      <c r="J175" s="92"/>
      <c r="K175" s="82" t="s">
        <v>293</v>
      </c>
      <c r="L175" s="90">
        <f t="shared" si="12"/>
        <v>14.5</v>
      </c>
      <c r="M175" s="82" t="s">
        <v>294</v>
      </c>
    </row>
    <row r="176" spans="2:13" ht="13.8" thickBot="1" x14ac:dyDescent="0.3">
      <c r="B176" s="79"/>
      <c r="C176" s="80" t="s">
        <v>796</v>
      </c>
      <c r="D176" s="79"/>
      <c r="E176" s="79"/>
      <c r="F176" s="91">
        <v>6</v>
      </c>
      <c r="G176" s="82" t="s">
        <v>293</v>
      </c>
      <c r="H176" s="90">
        <f t="shared" si="11"/>
        <v>14.5</v>
      </c>
      <c r="I176" s="82" t="s">
        <v>294</v>
      </c>
      <c r="J176" s="92"/>
      <c r="K176" s="82" t="s">
        <v>293</v>
      </c>
      <c r="L176" s="90">
        <f t="shared" si="12"/>
        <v>14.5</v>
      </c>
      <c r="M176" s="82" t="s">
        <v>294</v>
      </c>
    </row>
    <row r="177" spans="1:26" ht="13.8" thickBot="1" x14ac:dyDescent="0.3">
      <c r="B177" s="79"/>
      <c r="C177" s="80" t="s">
        <v>797</v>
      </c>
      <c r="D177" s="79"/>
      <c r="E177" s="79"/>
      <c r="F177" s="91">
        <v>44</v>
      </c>
      <c r="G177" s="82" t="s">
        <v>293</v>
      </c>
      <c r="H177" s="90">
        <f t="shared" si="11"/>
        <v>14.5</v>
      </c>
      <c r="I177" s="82" t="s">
        <v>294</v>
      </c>
      <c r="J177" s="92"/>
      <c r="K177" s="82" t="s">
        <v>293</v>
      </c>
      <c r="L177" s="90">
        <f t="shared" si="12"/>
        <v>14.5</v>
      </c>
      <c r="M177" s="82" t="s">
        <v>294</v>
      </c>
    </row>
    <row r="178" spans="1:26" ht="13.8" thickBot="1" x14ac:dyDescent="0.3">
      <c r="B178" s="79"/>
      <c r="C178" s="80" t="s">
        <v>569</v>
      </c>
      <c r="D178" s="79"/>
      <c r="E178" s="79"/>
      <c r="F178" s="91">
        <v>20</v>
      </c>
      <c r="G178" s="82" t="s">
        <v>293</v>
      </c>
      <c r="H178" s="90">
        <f t="shared" si="11"/>
        <v>14.5</v>
      </c>
      <c r="I178" s="82" t="s">
        <v>294</v>
      </c>
      <c r="J178" s="92">
        <v>40</v>
      </c>
      <c r="K178" s="82" t="s">
        <v>293</v>
      </c>
      <c r="L178" s="90">
        <f t="shared" si="12"/>
        <v>14.5</v>
      </c>
      <c r="M178" s="82" t="s">
        <v>294</v>
      </c>
    </row>
    <row r="179" spans="1:26" ht="13.8" thickBot="1" x14ac:dyDescent="0.3">
      <c r="B179" s="79"/>
      <c r="C179" s="80" t="s">
        <v>303</v>
      </c>
      <c r="D179" s="79"/>
      <c r="E179" s="79"/>
      <c r="F179" s="91">
        <v>4</v>
      </c>
      <c r="G179" s="82" t="s">
        <v>293</v>
      </c>
      <c r="H179" s="90">
        <f t="shared" si="11"/>
        <v>14.5</v>
      </c>
      <c r="I179" s="82" t="s">
        <v>294</v>
      </c>
      <c r="J179" s="92"/>
      <c r="K179" s="82" t="s">
        <v>293</v>
      </c>
      <c r="L179" s="90">
        <f t="shared" si="12"/>
        <v>14.5</v>
      </c>
      <c r="M179" s="82" t="s">
        <v>294</v>
      </c>
    </row>
    <row r="180" spans="1:26" ht="13.8" thickBot="1" x14ac:dyDescent="0.3">
      <c r="B180" s="79"/>
      <c r="C180" s="80" t="s">
        <v>662</v>
      </c>
      <c r="D180" s="79"/>
      <c r="E180" s="79"/>
      <c r="F180" s="91">
        <v>20</v>
      </c>
      <c r="G180" s="82" t="s">
        <v>293</v>
      </c>
      <c r="H180" s="90">
        <f t="shared" si="11"/>
        <v>14.5</v>
      </c>
      <c r="I180" s="82" t="s">
        <v>294</v>
      </c>
      <c r="J180" s="92"/>
      <c r="K180" s="82" t="s">
        <v>293</v>
      </c>
      <c r="L180" s="90">
        <f t="shared" si="12"/>
        <v>14.5</v>
      </c>
      <c r="M180" s="82" t="s">
        <v>294</v>
      </c>
    </row>
    <row r="181" spans="1:26" ht="13.8" thickBot="1" x14ac:dyDescent="0.3">
      <c r="B181" s="79"/>
      <c r="C181" s="80" t="s">
        <v>798</v>
      </c>
      <c r="D181" s="79"/>
      <c r="E181" s="79"/>
      <c r="F181" s="92">
        <v>12</v>
      </c>
      <c r="G181" s="82" t="s">
        <v>293</v>
      </c>
      <c r="H181" s="90">
        <f t="shared" si="11"/>
        <v>14.5</v>
      </c>
      <c r="I181" s="82" t="s">
        <v>294</v>
      </c>
      <c r="J181" s="92"/>
      <c r="K181" s="82" t="s">
        <v>293</v>
      </c>
      <c r="L181" s="90">
        <f t="shared" si="12"/>
        <v>14.5</v>
      </c>
      <c r="M181" s="82" t="s">
        <v>294</v>
      </c>
    </row>
    <row r="182" spans="1:26" ht="13.8" thickBot="1" x14ac:dyDescent="0.3">
      <c r="B182" s="79"/>
      <c r="C182" s="80" t="s">
        <v>431</v>
      </c>
      <c r="D182" s="79"/>
      <c r="E182" s="79"/>
      <c r="F182" s="92"/>
      <c r="G182" s="82" t="s">
        <v>293</v>
      </c>
      <c r="H182" s="90">
        <f t="shared" si="11"/>
        <v>14.5</v>
      </c>
      <c r="I182" s="82" t="s">
        <v>294</v>
      </c>
      <c r="J182" s="75"/>
      <c r="K182" s="82" t="s">
        <v>293</v>
      </c>
      <c r="L182" s="90">
        <f t="shared" si="12"/>
        <v>14.5</v>
      </c>
      <c r="M182" s="82" t="s">
        <v>294</v>
      </c>
    </row>
    <row r="183" spans="1:26" ht="13.8" thickBot="1" x14ac:dyDescent="0.3">
      <c r="B183" s="79"/>
      <c r="C183" s="80" t="s">
        <v>431</v>
      </c>
      <c r="D183" s="79"/>
      <c r="E183" s="79"/>
      <c r="F183" s="92"/>
      <c r="G183" s="82" t="s">
        <v>293</v>
      </c>
      <c r="H183" s="90">
        <f t="shared" si="11"/>
        <v>14.5</v>
      </c>
      <c r="I183" s="82" t="s">
        <v>294</v>
      </c>
      <c r="J183" s="75"/>
      <c r="K183" s="82" t="s">
        <v>293</v>
      </c>
      <c r="L183" s="90">
        <f t="shared" si="12"/>
        <v>14.5</v>
      </c>
      <c r="M183" s="82" t="s">
        <v>294</v>
      </c>
    </row>
    <row r="184" spans="1:26" ht="13.8" thickBot="1" x14ac:dyDescent="0.3">
      <c r="B184" s="79"/>
      <c r="C184" s="80" t="s">
        <v>431</v>
      </c>
      <c r="D184" s="81"/>
      <c r="E184" s="81"/>
      <c r="F184" s="75"/>
      <c r="G184" s="82" t="s">
        <v>293</v>
      </c>
      <c r="H184" s="90">
        <f t="shared" si="11"/>
        <v>14.5</v>
      </c>
      <c r="I184" s="82" t="s">
        <v>294</v>
      </c>
      <c r="J184" s="75"/>
      <c r="K184" s="82" t="s">
        <v>293</v>
      </c>
      <c r="L184" s="90">
        <f t="shared" si="12"/>
        <v>14.5</v>
      </c>
      <c r="M184" s="82" t="s">
        <v>294</v>
      </c>
    </row>
    <row r="185" spans="1:26" s="5" customFormat="1" x14ac:dyDescent="0.25">
      <c r="A185" s="305"/>
      <c r="B185" s="209"/>
      <c r="C185" s="210" t="s">
        <v>54</v>
      </c>
      <c r="D185" s="211"/>
      <c r="E185" s="211"/>
      <c r="F185" s="212">
        <f>SUM(F168:F184)</f>
        <v>165.5</v>
      </c>
      <c r="G185" s="209" t="s">
        <v>293</v>
      </c>
      <c r="H185" s="213">
        <f>F185*H168</f>
        <v>2399.75</v>
      </c>
      <c r="I185" s="209" t="s">
        <v>57</v>
      </c>
      <c r="J185" s="212">
        <f>SUM(J168:J184)</f>
        <v>65</v>
      </c>
      <c r="K185" s="209" t="s">
        <v>293</v>
      </c>
      <c r="L185" s="213">
        <f>J185*L168</f>
        <v>942.5</v>
      </c>
      <c r="M185" s="209" t="s">
        <v>57</v>
      </c>
      <c r="N185"/>
      <c r="O185"/>
      <c r="P185"/>
      <c r="Q185"/>
      <c r="R185"/>
      <c r="S185"/>
      <c r="T185"/>
      <c r="U185"/>
      <c r="Y185"/>
      <c r="Z185"/>
    </row>
    <row r="186" spans="1:26" ht="57" customHeight="1" thickBot="1" x14ac:dyDescent="0.3">
      <c r="B186" s="116"/>
      <c r="C186" s="116"/>
      <c r="D186" s="116"/>
      <c r="E186" s="116"/>
      <c r="F186" s="116"/>
      <c r="G186" s="116"/>
      <c r="H186" s="116"/>
      <c r="I186" s="116"/>
      <c r="J186" s="116"/>
      <c r="K186" s="116"/>
      <c r="L186" s="116"/>
      <c r="M186" s="116"/>
      <c r="N186" s="5"/>
      <c r="O186" s="5"/>
      <c r="P186" s="5"/>
      <c r="Q186" s="5"/>
      <c r="R186" s="5"/>
      <c r="S186" s="5"/>
      <c r="T186" s="5"/>
      <c r="U186" s="5"/>
      <c r="Y186" s="5"/>
      <c r="Z186" s="5"/>
    </row>
    <row r="187" spans="1:26" ht="30" customHeight="1" thickBot="1" x14ac:dyDescent="0.45">
      <c r="B187" s="1129" t="s">
        <v>799</v>
      </c>
      <c r="C187" s="1130"/>
      <c r="D187" s="1130"/>
      <c r="E187" s="1131"/>
      <c r="F187" s="116"/>
      <c r="G187" s="116"/>
      <c r="H187" s="116"/>
      <c r="I187" s="116"/>
      <c r="J187" s="1140" t="s">
        <v>645</v>
      </c>
      <c r="K187" s="1140"/>
      <c r="L187" s="1140"/>
      <c r="M187" s="116"/>
    </row>
    <row r="188" spans="1:26" ht="30" customHeight="1" x14ac:dyDescent="0.4">
      <c r="B188" s="438"/>
      <c r="C188" s="438"/>
      <c r="D188" s="438"/>
      <c r="E188" s="438"/>
      <c r="F188" s="116"/>
      <c r="G188" s="116"/>
      <c r="H188" s="116"/>
      <c r="I188" s="116"/>
      <c r="J188" s="461"/>
      <c r="K188" s="461"/>
      <c r="L188" s="461"/>
      <c r="M188" s="116"/>
    </row>
    <row r="189" spans="1:26" ht="15.6" x14ac:dyDescent="0.3">
      <c r="B189" s="89" t="s">
        <v>800</v>
      </c>
      <c r="C189" s="44"/>
      <c r="D189" s="44"/>
      <c r="E189" s="44"/>
      <c r="F189" s="1077" t="s">
        <v>114</v>
      </c>
      <c r="G189" s="1077"/>
      <c r="H189" s="1077" t="s">
        <v>113</v>
      </c>
      <c r="I189" s="1077"/>
      <c r="J189" s="1077" t="s">
        <v>243</v>
      </c>
      <c r="K189" s="1077"/>
      <c r="L189" s="111" t="s">
        <v>244</v>
      </c>
      <c r="M189" s="46"/>
    </row>
    <row r="190" spans="1:26" ht="13.8" thickBot="1" x14ac:dyDescent="0.3">
      <c r="B190" s="48"/>
      <c r="C190" s="44"/>
      <c r="D190" s="44"/>
      <c r="E190" s="44"/>
      <c r="F190" s="44"/>
      <c r="G190" s="44"/>
      <c r="H190" s="44"/>
      <c r="I190" s="44"/>
      <c r="J190" s="46"/>
      <c r="K190" s="46"/>
      <c r="L190" s="46"/>
      <c r="M190" s="46"/>
    </row>
    <row r="191" spans="1:26" ht="13.8" thickBot="1" x14ac:dyDescent="0.3">
      <c r="B191" s="44"/>
      <c r="C191" s="45" t="s">
        <v>769</v>
      </c>
      <c r="D191" s="46"/>
      <c r="E191" s="44"/>
      <c r="F191" s="94">
        <v>50</v>
      </c>
      <c r="G191" s="44" t="s">
        <v>647</v>
      </c>
      <c r="H191" s="73">
        <v>6</v>
      </c>
      <c r="I191" s="49" t="s">
        <v>74</v>
      </c>
      <c r="J191" s="191">
        <f>F191*H191</f>
        <v>300</v>
      </c>
      <c r="K191" s="44" t="s">
        <v>57</v>
      </c>
      <c r="L191" s="44" t="s">
        <v>764</v>
      </c>
      <c r="M191" s="46"/>
    </row>
    <row r="192" spans="1:26" ht="13.8" thickBot="1" x14ac:dyDescent="0.3">
      <c r="B192" s="44"/>
      <c r="C192" s="44" t="s">
        <v>596</v>
      </c>
      <c r="D192" s="45"/>
      <c r="E192" s="44"/>
      <c r="F192" s="94"/>
      <c r="G192" s="44" t="s">
        <v>647</v>
      </c>
      <c r="H192" s="73"/>
      <c r="I192" s="49" t="s">
        <v>74</v>
      </c>
      <c r="J192" s="191">
        <f t="shared" ref="J192:J193" si="13">F192*H192</f>
        <v>0</v>
      </c>
      <c r="K192" s="44" t="s">
        <v>57</v>
      </c>
      <c r="L192" s="46"/>
      <c r="M192" s="46"/>
    </row>
    <row r="193" spans="1:26" ht="13.8" thickBot="1" x14ac:dyDescent="0.3">
      <c r="B193" s="44"/>
      <c r="C193" s="44" t="s">
        <v>596</v>
      </c>
      <c r="D193" s="45"/>
      <c r="E193" s="44"/>
      <c r="F193" s="94"/>
      <c r="G193" s="44" t="s">
        <v>647</v>
      </c>
      <c r="H193" s="73"/>
      <c r="I193" s="49" t="s">
        <v>74</v>
      </c>
      <c r="J193" s="191">
        <f t="shared" si="13"/>
        <v>0</v>
      </c>
      <c r="K193" s="44" t="s">
        <v>57</v>
      </c>
      <c r="L193" s="46"/>
      <c r="M193" s="46"/>
    </row>
    <row r="194" spans="1:26" ht="13.8" thickBot="1" x14ac:dyDescent="0.3">
      <c r="B194" s="44"/>
      <c r="C194" s="44"/>
      <c r="D194" s="50"/>
      <c r="E194" s="44"/>
      <c r="F194" s="44"/>
      <c r="G194" s="44"/>
      <c r="H194" s="49"/>
      <c r="I194" s="49"/>
      <c r="J194" s="191"/>
      <c r="K194" s="44"/>
      <c r="L194" s="46"/>
      <c r="M194" s="46"/>
    </row>
    <row r="195" spans="1:26" ht="13.8" thickBot="1" x14ac:dyDescent="0.3">
      <c r="B195" s="44"/>
      <c r="C195" s="44" t="s">
        <v>801</v>
      </c>
      <c r="D195" s="50"/>
      <c r="E195" s="44"/>
      <c r="F195" s="94">
        <v>10</v>
      </c>
      <c r="G195" s="44" t="s">
        <v>8</v>
      </c>
      <c r="H195" s="77">
        <v>4</v>
      </c>
      <c r="I195" s="49" t="s">
        <v>206</v>
      </c>
      <c r="J195" s="191">
        <f t="shared" ref="J195" si="14">F195*H195</f>
        <v>40</v>
      </c>
      <c r="K195" s="44" t="s">
        <v>57</v>
      </c>
      <c r="L195" s="46"/>
      <c r="M195" s="46"/>
    </row>
    <row r="196" spans="1:26" ht="13.8" thickBot="1" x14ac:dyDescent="0.3">
      <c r="B196" s="44"/>
      <c r="C196" s="44" t="s">
        <v>598</v>
      </c>
      <c r="D196" s="50"/>
      <c r="E196" s="44"/>
      <c r="F196" s="94"/>
      <c r="G196" s="44" t="s">
        <v>8</v>
      </c>
      <c r="H196" s="77"/>
      <c r="I196" s="49" t="s">
        <v>206</v>
      </c>
      <c r="J196" s="191"/>
      <c r="K196" s="44" t="s">
        <v>57</v>
      </c>
      <c r="L196" s="46"/>
      <c r="M196" s="46"/>
    </row>
    <row r="197" spans="1:26" s="5" customFormat="1" x14ac:dyDescent="0.25">
      <c r="A197" s="305"/>
      <c r="B197" s="50"/>
      <c r="C197" s="50" t="s">
        <v>54</v>
      </c>
      <c r="D197" s="50"/>
      <c r="E197" s="50"/>
      <c r="F197" s="218"/>
      <c r="G197" s="50"/>
      <c r="H197" s="219"/>
      <c r="I197" s="219"/>
      <c r="J197" s="220">
        <f>SUM(J191:J196)</f>
        <v>340</v>
      </c>
      <c r="K197" s="50" t="s">
        <v>57</v>
      </c>
      <c r="L197" s="50"/>
      <c r="M197" s="50"/>
      <c r="N197"/>
      <c r="O197"/>
      <c r="P197"/>
      <c r="Q197"/>
      <c r="R197"/>
      <c r="S197"/>
      <c r="T197"/>
      <c r="U197"/>
      <c r="Y197"/>
      <c r="Z197"/>
    </row>
    <row r="198" spans="1:26" x14ac:dyDescent="0.25">
      <c r="B198" s="44"/>
      <c r="C198" s="44"/>
      <c r="D198" s="50"/>
      <c r="E198" s="44"/>
      <c r="F198" s="47"/>
      <c r="G198" s="44"/>
      <c r="H198" s="49"/>
      <c r="I198" s="49"/>
      <c r="J198" s="46"/>
      <c r="K198" s="44"/>
      <c r="L198" s="46"/>
      <c r="M198" s="46"/>
      <c r="N198" s="5"/>
      <c r="O198" s="5"/>
      <c r="P198" s="5"/>
      <c r="Q198" s="5"/>
      <c r="R198" s="5"/>
      <c r="S198" s="5"/>
      <c r="T198" s="5"/>
      <c r="U198" s="5"/>
      <c r="Y198" s="5"/>
      <c r="Z198" s="5"/>
    </row>
    <row r="199" spans="1:26" ht="37.200000000000003" customHeight="1" x14ac:dyDescent="0.25">
      <c r="B199" s="435"/>
      <c r="C199" s="435"/>
      <c r="D199" s="436"/>
      <c r="E199" s="435"/>
      <c r="F199" s="435"/>
      <c r="G199" s="435"/>
      <c r="H199" s="437"/>
      <c r="I199" s="437"/>
      <c r="J199" s="116"/>
      <c r="K199" s="116"/>
      <c r="L199" s="116"/>
      <c r="M199" s="116"/>
    </row>
    <row r="200" spans="1:26" ht="15.6" x14ac:dyDescent="0.3">
      <c r="B200" s="96" t="s">
        <v>738</v>
      </c>
      <c r="C200" s="97"/>
      <c r="D200" s="97"/>
      <c r="E200" s="97"/>
      <c r="F200" s="1074" t="s">
        <v>114</v>
      </c>
      <c r="G200" s="1074"/>
      <c r="H200" s="1074" t="s">
        <v>113</v>
      </c>
      <c r="I200" s="1074"/>
      <c r="J200" s="1074" t="s">
        <v>243</v>
      </c>
      <c r="K200" s="1074"/>
      <c r="L200" s="99"/>
      <c r="M200" s="99"/>
    </row>
    <row r="201" spans="1:26" ht="13.8" thickBot="1" x14ac:dyDescent="0.3">
      <c r="B201" s="97"/>
      <c r="C201" s="97"/>
      <c r="D201" s="97"/>
      <c r="E201" s="97"/>
      <c r="F201" s="97"/>
      <c r="G201" s="97"/>
      <c r="H201" s="98"/>
      <c r="I201" s="98"/>
      <c r="J201" s="99"/>
      <c r="K201" s="99"/>
      <c r="L201" s="99"/>
      <c r="M201" s="99"/>
    </row>
    <row r="202" spans="1:26" ht="13.8" thickBot="1" x14ac:dyDescent="0.3">
      <c r="B202" s="97"/>
      <c r="C202" s="97" t="s">
        <v>683</v>
      </c>
      <c r="D202" s="99"/>
      <c r="E202" s="97"/>
      <c r="F202" s="94">
        <v>100</v>
      </c>
      <c r="G202" s="97" t="s">
        <v>212</v>
      </c>
      <c r="H202" s="77">
        <v>1.53</v>
      </c>
      <c r="I202" s="98" t="s">
        <v>206</v>
      </c>
      <c r="J202" s="190">
        <f>F202*H202</f>
        <v>153</v>
      </c>
      <c r="K202" s="97" t="s">
        <v>57</v>
      </c>
      <c r="L202" s="99"/>
      <c r="M202" s="99"/>
    </row>
    <row r="203" spans="1:26" ht="13.8" thickBot="1" x14ac:dyDescent="0.3">
      <c r="B203" s="97"/>
      <c r="C203" s="97" t="s">
        <v>251</v>
      </c>
      <c r="D203" s="99"/>
      <c r="E203" s="97"/>
      <c r="F203" s="94"/>
      <c r="G203" s="97" t="s">
        <v>212</v>
      </c>
      <c r="H203" s="77"/>
      <c r="I203" s="98" t="s">
        <v>206</v>
      </c>
      <c r="J203" s="190">
        <f t="shared" ref="J203:J205" si="15">F203*H203</f>
        <v>0</v>
      </c>
      <c r="K203" s="97" t="s">
        <v>57</v>
      </c>
      <c r="L203" s="99"/>
      <c r="M203" s="99"/>
    </row>
    <row r="204" spans="1:26" ht="13.8" thickBot="1" x14ac:dyDescent="0.3">
      <c r="B204" s="97"/>
      <c r="C204" s="97" t="s">
        <v>251</v>
      </c>
      <c r="D204" s="97"/>
      <c r="E204" s="97"/>
      <c r="F204" s="74"/>
      <c r="G204" s="97" t="s">
        <v>212</v>
      </c>
      <c r="H204" s="77"/>
      <c r="I204" s="98" t="s">
        <v>206</v>
      </c>
      <c r="J204" s="190">
        <f t="shared" si="15"/>
        <v>0</v>
      </c>
      <c r="K204" s="97" t="s">
        <v>57</v>
      </c>
      <c r="L204" s="99"/>
      <c r="M204" s="99"/>
    </row>
    <row r="205" spans="1:26" ht="13.8" thickBot="1" x14ac:dyDescent="0.3">
      <c r="B205" s="97"/>
      <c r="C205" s="97" t="s">
        <v>251</v>
      </c>
      <c r="D205" s="97"/>
      <c r="E205" s="97"/>
      <c r="F205" s="74"/>
      <c r="G205" s="97" t="s">
        <v>212</v>
      </c>
      <c r="H205" s="76"/>
      <c r="I205" s="98" t="s">
        <v>206</v>
      </c>
      <c r="J205" s="190">
        <f t="shared" si="15"/>
        <v>0</v>
      </c>
      <c r="K205" s="97" t="s">
        <v>57</v>
      </c>
      <c r="L205" s="99"/>
      <c r="M205" s="99"/>
    </row>
    <row r="206" spans="1:26" s="5" customFormat="1" x14ac:dyDescent="0.25">
      <c r="A206" s="305"/>
      <c r="B206" s="214"/>
      <c r="C206" s="214" t="s">
        <v>54</v>
      </c>
      <c r="D206" s="214"/>
      <c r="E206" s="214"/>
      <c r="F206" s="214"/>
      <c r="G206" s="214"/>
      <c r="H206" s="216"/>
      <c r="I206" s="215"/>
      <c r="J206" s="217">
        <f>SUM(J202:J205)</f>
        <v>153</v>
      </c>
      <c r="K206" s="214" t="s">
        <v>57</v>
      </c>
      <c r="L206" s="214"/>
      <c r="M206" s="214"/>
      <c r="N206"/>
      <c r="O206"/>
      <c r="P206"/>
      <c r="Q206"/>
      <c r="R206"/>
      <c r="S206"/>
      <c r="T206"/>
      <c r="U206"/>
      <c r="Y206"/>
      <c r="Z206"/>
    </row>
    <row r="207" spans="1:26" x14ac:dyDescent="0.25">
      <c r="B207" s="97"/>
      <c r="C207" s="97"/>
      <c r="D207" s="97"/>
      <c r="E207" s="97"/>
      <c r="F207" s="97"/>
      <c r="G207" s="97"/>
      <c r="H207" s="98"/>
      <c r="I207" s="98"/>
      <c r="J207" s="99"/>
      <c r="K207" s="99"/>
      <c r="L207" s="99"/>
      <c r="M207" s="99"/>
      <c r="N207" s="5"/>
      <c r="O207" s="5"/>
      <c r="P207" s="5"/>
      <c r="Q207" s="5"/>
      <c r="R207" s="5"/>
      <c r="S207" s="5"/>
      <c r="T207" s="5"/>
      <c r="U207" s="5"/>
      <c r="Y207" s="5"/>
      <c r="Z207" s="5"/>
    </row>
    <row r="208" spans="1:26" ht="37.950000000000003" customHeight="1" x14ac:dyDescent="0.25">
      <c r="B208" s="116"/>
      <c r="C208" s="116"/>
      <c r="D208" s="116"/>
      <c r="E208" s="116"/>
      <c r="F208" s="116"/>
      <c r="G208" s="116"/>
      <c r="H208" s="116"/>
      <c r="I208" s="116"/>
      <c r="J208" s="116"/>
      <c r="K208" s="116"/>
      <c r="L208" s="116"/>
      <c r="M208" s="116"/>
    </row>
    <row r="209" spans="1:26" ht="15.6" x14ac:dyDescent="0.3">
      <c r="B209" s="85" t="s">
        <v>771</v>
      </c>
      <c r="C209" s="51"/>
      <c r="D209" s="51"/>
      <c r="E209" s="51"/>
      <c r="F209" s="1075" t="s">
        <v>114</v>
      </c>
      <c r="G209" s="1075"/>
      <c r="H209" s="1076" t="s">
        <v>113</v>
      </c>
      <c r="I209" s="1076"/>
      <c r="J209" s="1075" t="s">
        <v>243</v>
      </c>
      <c r="K209" s="1075"/>
      <c r="L209" s="58"/>
      <c r="M209" s="58"/>
    </row>
    <row r="210" spans="1:26" ht="15.6" x14ac:dyDescent="0.3">
      <c r="B210" s="85"/>
      <c r="C210" s="51"/>
      <c r="D210" s="387" t="s">
        <v>253</v>
      </c>
      <c r="E210" s="51"/>
      <c r="F210" s="59"/>
      <c r="G210" s="59"/>
      <c r="H210" s="60"/>
      <c r="I210" s="60"/>
      <c r="J210" s="59"/>
      <c r="K210" s="59"/>
      <c r="L210" s="58"/>
      <c r="M210" s="58"/>
    </row>
    <row r="211" spans="1:26" ht="13.8" thickBot="1" x14ac:dyDescent="0.3">
      <c r="B211" s="171" t="s">
        <v>254</v>
      </c>
      <c r="C211" s="51"/>
      <c r="D211" s="51"/>
      <c r="E211" s="51"/>
      <c r="F211" s="53"/>
      <c r="G211" s="53"/>
      <c r="H211" s="52"/>
      <c r="I211" s="52"/>
      <c r="J211" s="58"/>
      <c r="K211" s="58"/>
      <c r="L211" s="58"/>
      <c r="M211" s="58"/>
    </row>
    <row r="212" spans="1:26" ht="13.8" thickBot="1" x14ac:dyDescent="0.3">
      <c r="B212" s="51"/>
      <c r="C212" s="51" t="s">
        <v>265</v>
      </c>
      <c r="D212" s="58"/>
      <c r="E212" s="51"/>
      <c r="F212" s="95"/>
      <c r="G212" s="53" t="s">
        <v>256</v>
      </c>
      <c r="H212" s="77"/>
      <c r="I212" s="52" t="s">
        <v>257</v>
      </c>
      <c r="J212" s="58">
        <f>F212*H212</f>
        <v>0</v>
      </c>
      <c r="K212" s="51" t="s">
        <v>57</v>
      </c>
      <c r="L212" s="58"/>
      <c r="M212" s="58"/>
    </row>
    <row r="213" spans="1:26" ht="13.8" thickBot="1" x14ac:dyDescent="0.3">
      <c r="B213" s="51"/>
      <c r="C213" s="51" t="s">
        <v>265</v>
      </c>
      <c r="D213" s="51"/>
      <c r="E213" s="51"/>
      <c r="F213" s="95"/>
      <c r="G213" s="53" t="s">
        <v>256</v>
      </c>
      <c r="H213" s="77"/>
      <c r="I213" s="52" t="s">
        <v>257</v>
      </c>
      <c r="J213" s="58">
        <f t="shared" ref="J213:J219" si="16">F213*H213</f>
        <v>0</v>
      </c>
      <c r="K213" s="51" t="s">
        <v>57</v>
      </c>
      <c r="L213" s="58"/>
      <c r="M213" s="58"/>
    </row>
    <row r="214" spans="1:26" ht="13.8" thickBot="1" x14ac:dyDescent="0.3">
      <c r="B214" s="51"/>
      <c r="C214" s="51" t="s">
        <v>265</v>
      </c>
      <c r="D214" s="51"/>
      <c r="E214" s="51"/>
      <c r="F214" s="95"/>
      <c r="G214" s="53" t="s">
        <v>256</v>
      </c>
      <c r="H214" s="77"/>
      <c r="I214" s="52" t="s">
        <v>257</v>
      </c>
      <c r="J214" s="58">
        <f t="shared" si="16"/>
        <v>0</v>
      </c>
      <c r="K214" s="51" t="s">
        <v>57</v>
      </c>
      <c r="L214" s="58"/>
      <c r="M214" s="58"/>
    </row>
    <row r="215" spans="1:26" x14ac:dyDescent="0.25">
      <c r="B215" s="51"/>
      <c r="C215" s="51"/>
      <c r="D215" s="51"/>
      <c r="E215" s="51"/>
      <c r="F215" s="53"/>
      <c r="G215" s="53"/>
      <c r="H215" s="52"/>
      <c r="I215" s="52"/>
      <c r="J215" s="58"/>
      <c r="K215" s="51"/>
      <c r="L215" s="58"/>
      <c r="M215" s="58"/>
    </row>
    <row r="216" spans="1:26" ht="13.8" thickBot="1" x14ac:dyDescent="0.3">
      <c r="B216" s="171" t="s">
        <v>266</v>
      </c>
      <c r="C216" s="51"/>
      <c r="D216" s="51"/>
      <c r="E216" s="51"/>
      <c r="F216" s="53"/>
      <c r="G216" s="53"/>
      <c r="H216" s="52"/>
      <c r="I216" s="52"/>
      <c r="J216" s="58"/>
      <c r="K216" s="51"/>
      <c r="L216" s="58"/>
      <c r="M216" s="58"/>
    </row>
    <row r="217" spans="1:26" ht="13.8" thickBot="1" x14ac:dyDescent="0.3">
      <c r="B217" s="51"/>
      <c r="C217" s="51" t="s">
        <v>267</v>
      </c>
      <c r="D217" s="51"/>
      <c r="E217" s="51"/>
      <c r="F217" s="95"/>
      <c r="G217" s="53"/>
      <c r="H217" s="95"/>
      <c r="I217" s="52"/>
      <c r="J217" s="58">
        <f t="shared" si="16"/>
        <v>0</v>
      </c>
      <c r="K217" s="51" t="s">
        <v>57</v>
      </c>
      <c r="L217" s="58"/>
      <c r="M217" s="58"/>
    </row>
    <row r="218" spans="1:26" ht="13.8" thickBot="1" x14ac:dyDescent="0.3">
      <c r="B218" s="51"/>
      <c r="C218" s="51" t="s">
        <v>267</v>
      </c>
      <c r="D218" s="51"/>
      <c r="E218" s="51"/>
      <c r="F218" s="95"/>
      <c r="G218" s="53"/>
      <c r="H218" s="95"/>
      <c r="I218" s="52"/>
      <c r="J218" s="58">
        <f t="shared" si="16"/>
        <v>0</v>
      </c>
      <c r="K218" s="51" t="s">
        <v>57</v>
      </c>
      <c r="L218" s="58"/>
      <c r="M218" s="58"/>
    </row>
    <row r="219" spans="1:26" ht="13.8" thickBot="1" x14ac:dyDescent="0.3">
      <c r="B219" s="51"/>
      <c r="C219" s="51" t="s">
        <v>267</v>
      </c>
      <c r="D219" s="51"/>
      <c r="E219" s="51"/>
      <c r="F219" s="95"/>
      <c r="G219" s="53"/>
      <c r="H219" s="95"/>
      <c r="I219" s="52"/>
      <c r="J219" s="58">
        <f t="shared" si="16"/>
        <v>0</v>
      </c>
      <c r="K219" s="51" t="s">
        <v>57</v>
      </c>
      <c r="L219" s="58"/>
      <c r="M219" s="58"/>
    </row>
    <row r="220" spans="1:26" s="5" customFormat="1" x14ac:dyDescent="0.25">
      <c r="A220" s="305"/>
      <c r="B220" s="195"/>
      <c r="C220" s="195" t="s">
        <v>54</v>
      </c>
      <c r="D220" s="195"/>
      <c r="E220" s="195"/>
      <c r="F220" s="196"/>
      <c r="G220" s="196"/>
      <c r="H220" s="196"/>
      <c r="I220" s="197"/>
      <c r="J220" s="195">
        <f>SUM(J212:J219)</f>
        <v>0</v>
      </c>
      <c r="K220" s="195" t="s">
        <v>57</v>
      </c>
      <c r="L220" s="195"/>
      <c r="M220" s="195"/>
      <c r="N220"/>
      <c r="O220"/>
      <c r="P220"/>
      <c r="Q220"/>
      <c r="R220"/>
      <c r="S220"/>
      <c r="T220"/>
      <c r="U220"/>
      <c r="Y220"/>
      <c r="Z220"/>
    </row>
    <row r="221" spans="1:26" x14ac:dyDescent="0.25">
      <c r="B221" s="51"/>
      <c r="C221" s="51"/>
      <c r="D221" s="51"/>
      <c r="E221" s="51"/>
      <c r="F221" s="53"/>
      <c r="G221" s="53"/>
      <c r="H221" s="52"/>
      <c r="I221" s="52"/>
      <c r="J221" s="58"/>
      <c r="K221" s="51"/>
      <c r="L221" s="58"/>
      <c r="M221" s="58"/>
      <c r="N221" s="5"/>
      <c r="O221" s="5"/>
      <c r="P221" s="5"/>
      <c r="Q221" s="5"/>
      <c r="R221" s="5"/>
      <c r="S221" s="5"/>
      <c r="T221" s="5"/>
      <c r="U221" s="5"/>
      <c r="Y221" s="5"/>
      <c r="Z221" s="5"/>
    </row>
    <row r="222" spans="1:26" ht="42" customHeight="1" x14ac:dyDescent="0.25">
      <c r="B222" s="116"/>
      <c r="C222" s="116"/>
      <c r="D222" s="116"/>
      <c r="E222" s="116"/>
      <c r="F222" s="116"/>
      <c r="G222" s="116"/>
      <c r="H222" s="116"/>
      <c r="I222" s="116"/>
      <c r="J222" s="116"/>
      <c r="K222" s="116"/>
      <c r="L222" s="116"/>
      <c r="M222" s="116"/>
    </row>
    <row r="223" spans="1:26" ht="30" customHeight="1" x14ac:dyDescent="0.3">
      <c r="B223" s="526" t="s">
        <v>772</v>
      </c>
      <c r="C223" s="527"/>
      <c r="D223" s="527"/>
      <c r="E223" s="527"/>
      <c r="F223" s="1125" t="s">
        <v>114</v>
      </c>
      <c r="G223" s="1125"/>
      <c r="H223" s="1125" t="s">
        <v>113</v>
      </c>
      <c r="I223" s="1125"/>
      <c r="J223" s="1125" t="s">
        <v>243</v>
      </c>
      <c r="K223" s="1125"/>
      <c r="L223" s="101"/>
      <c r="M223" s="101"/>
    </row>
    <row r="224" spans="1:26" ht="13.8" thickBot="1" x14ac:dyDescent="0.3">
      <c r="B224" s="527"/>
      <c r="C224" s="527"/>
      <c r="D224" s="527"/>
      <c r="E224" s="527"/>
      <c r="F224" s="527"/>
      <c r="G224" s="527"/>
      <c r="H224" s="528"/>
      <c r="I224" s="528"/>
      <c r="J224" s="101"/>
      <c r="K224" s="101"/>
      <c r="L224" s="101"/>
      <c r="M224" s="101"/>
    </row>
    <row r="225" spans="1:13" ht="13.8" thickBot="1" x14ac:dyDescent="0.3">
      <c r="B225" s="527"/>
      <c r="C225" s="527" t="s">
        <v>621</v>
      </c>
      <c r="D225" s="101"/>
      <c r="E225" s="527"/>
      <c r="F225" s="529">
        <v>5</v>
      </c>
      <c r="G225" s="527" t="s">
        <v>622</v>
      </c>
      <c r="H225" s="530">
        <v>160</v>
      </c>
      <c r="I225" s="528" t="s">
        <v>623</v>
      </c>
      <c r="J225" s="531">
        <f t="shared" ref="J225:J227" si="17">F225*H225</f>
        <v>800</v>
      </c>
      <c r="K225" s="527" t="s">
        <v>57</v>
      </c>
      <c r="L225" s="101"/>
      <c r="M225" s="101"/>
    </row>
    <row r="226" spans="1:13" ht="13.8" thickBot="1" x14ac:dyDescent="0.3">
      <c r="B226" s="527"/>
      <c r="C226" s="527" t="s">
        <v>274</v>
      </c>
      <c r="D226" s="527"/>
      <c r="E226" s="527"/>
      <c r="F226" s="529"/>
      <c r="G226" s="527" t="s">
        <v>7</v>
      </c>
      <c r="H226" s="530"/>
      <c r="I226" s="528" t="s">
        <v>57</v>
      </c>
      <c r="J226" s="531">
        <f t="shared" si="17"/>
        <v>0</v>
      </c>
      <c r="K226" s="527" t="s">
        <v>57</v>
      </c>
      <c r="L226" s="101"/>
      <c r="M226" s="101"/>
    </row>
    <row r="227" spans="1:13" ht="13.8" thickBot="1" x14ac:dyDescent="0.3">
      <c r="B227" s="527"/>
      <c r="C227" s="527" t="s">
        <v>274</v>
      </c>
      <c r="D227" s="527"/>
      <c r="E227" s="527"/>
      <c r="F227" s="529"/>
      <c r="G227" s="527" t="s">
        <v>7</v>
      </c>
      <c r="H227" s="530"/>
      <c r="I227" s="528" t="s">
        <v>57</v>
      </c>
      <c r="J227" s="531">
        <f t="shared" si="17"/>
        <v>0</v>
      </c>
      <c r="K227" s="527" t="s">
        <v>57</v>
      </c>
      <c r="L227" s="101"/>
      <c r="M227" s="101"/>
    </row>
    <row r="228" spans="1:13" x14ac:dyDescent="0.25">
      <c r="B228" s="305"/>
      <c r="C228" s="305" t="s">
        <v>54</v>
      </c>
      <c r="D228" s="305"/>
      <c r="E228" s="305"/>
      <c r="F228" s="305"/>
      <c r="G228" s="305"/>
      <c r="H228" s="532"/>
      <c r="I228" s="532"/>
      <c r="J228" s="533">
        <f>SUM(J225:J227)</f>
        <v>800</v>
      </c>
      <c r="K228" s="305" t="s">
        <v>57</v>
      </c>
      <c r="L228" s="305"/>
      <c r="M228" s="305"/>
    </row>
    <row r="229" spans="1:13" x14ac:dyDescent="0.25">
      <c r="B229" s="527"/>
      <c r="C229" s="527"/>
      <c r="D229" s="527"/>
      <c r="E229" s="527"/>
      <c r="F229" s="527"/>
      <c r="G229" s="527"/>
      <c r="H229" s="528"/>
      <c r="I229" s="528"/>
      <c r="J229" s="531"/>
      <c r="K229" s="527"/>
      <c r="L229" s="101"/>
      <c r="M229" s="101"/>
    </row>
    <row r="230" spans="1:13" ht="30" customHeight="1" x14ac:dyDescent="0.25">
      <c r="B230" s="435"/>
      <c r="C230" s="435"/>
      <c r="D230" s="435"/>
      <c r="E230" s="435"/>
      <c r="F230" s="439"/>
      <c r="G230" s="439"/>
      <c r="H230" s="437"/>
      <c r="I230" s="437"/>
      <c r="J230" s="116"/>
      <c r="K230" s="435"/>
      <c r="L230" s="116"/>
      <c r="M230" s="116"/>
    </row>
    <row r="231" spans="1:13" ht="40.950000000000003" customHeight="1" x14ac:dyDescent="0.3">
      <c r="A231" s="310"/>
      <c r="B231" s="86" t="s">
        <v>802</v>
      </c>
      <c r="C231" s="61"/>
      <c r="D231" s="61"/>
      <c r="E231" s="61"/>
      <c r="F231" s="1071" t="s">
        <v>114</v>
      </c>
      <c r="G231" s="1071"/>
      <c r="H231" s="1071" t="s">
        <v>113</v>
      </c>
      <c r="I231" s="1071"/>
      <c r="J231" s="1071" t="s">
        <v>243</v>
      </c>
      <c r="K231" s="1071"/>
      <c r="L231" s="63"/>
      <c r="M231" s="63"/>
    </row>
    <row r="232" spans="1:13" ht="13.8" thickBot="1" x14ac:dyDescent="0.3">
      <c r="A232" s="310"/>
      <c r="B232" s="61"/>
      <c r="C232" s="61"/>
      <c r="D232" s="61"/>
      <c r="E232" s="61"/>
      <c r="F232" s="61"/>
      <c r="G232" s="61"/>
      <c r="H232" s="62"/>
      <c r="I232" s="62"/>
      <c r="J232" s="63"/>
      <c r="K232" s="63"/>
      <c r="L232" s="63"/>
      <c r="M232" s="63"/>
    </row>
    <row r="233" spans="1:13" ht="13.8" thickBot="1" x14ac:dyDescent="0.3">
      <c r="A233" s="310"/>
      <c r="B233" s="61"/>
      <c r="C233" s="61" t="s">
        <v>803</v>
      </c>
      <c r="D233" s="61"/>
      <c r="E233" s="61"/>
      <c r="F233" s="388">
        <f>IF(S10&gt;0,S10*'Gårdens info'!$G$34/1,0)</f>
        <v>6833.333333333333</v>
      </c>
      <c r="G233" s="61" t="s">
        <v>116</v>
      </c>
      <c r="H233" s="77"/>
      <c r="I233" s="62" t="s">
        <v>74</v>
      </c>
      <c r="J233" s="64">
        <f>F233*H233</f>
        <v>0</v>
      </c>
      <c r="K233" s="61" t="s">
        <v>57</v>
      </c>
      <c r="L233" s="63"/>
      <c r="M233" s="63"/>
    </row>
    <row r="234" spans="1:13" ht="13.8" thickBot="1" x14ac:dyDescent="0.3">
      <c r="A234" s="310"/>
      <c r="B234" s="61"/>
      <c r="C234" s="61" t="s">
        <v>626</v>
      </c>
      <c r="D234" s="63"/>
      <c r="E234" s="61"/>
      <c r="F234" s="388">
        <f>IF(S11&gt;0,S11*'Gårdens info'!$G$34/5,0)</f>
        <v>0</v>
      </c>
      <c r="G234" s="61" t="s">
        <v>116</v>
      </c>
      <c r="H234" s="77">
        <v>0.1</v>
      </c>
      <c r="I234" s="62" t="s">
        <v>74</v>
      </c>
      <c r="J234" s="64">
        <f>F234*H234</f>
        <v>0</v>
      </c>
      <c r="K234" s="61" t="s">
        <v>57</v>
      </c>
      <c r="L234" s="63"/>
      <c r="M234" s="63"/>
    </row>
    <row r="235" spans="1:13" ht="13.8" thickBot="1" x14ac:dyDescent="0.3">
      <c r="A235" s="310"/>
      <c r="B235" s="61"/>
      <c r="C235" s="61" t="s">
        <v>804</v>
      </c>
      <c r="D235" s="63"/>
      <c r="E235" s="61"/>
      <c r="F235" s="388">
        <f>IF(S12&gt;0,S12*'Gårdens info'!$G$34/5,0)</f>
        <v>0</v>
      </c>
      <c r="G235" s="61" t="s">
        <v>116</v>
      </c>
      <c r="H235" s="77">
        <v>0.1</v>
      </c>
      <c r="I235" s="62" t="s">
        <v>74</v>
      </c>
      <c r="J235" s="64">
        <f t="shared" ref="J235:J240" si="18">F235*H235</f>
        <v>0</v>
      </c>
      <c r="K235" s="61" t="s">
        <v>57</v>
      </c>
      <c r="L235" s="63"/>
      <c r="M235" s="63"/>
    </row>
    <row r="236" spans="1:13" ht="13.8" thickBot="1" x14ac:dyDescent="0.3">
      <c r="A236" s="310"/>
      <c r="B236" s="61"/>
      <c r="C236" s="61" t="s">
        <v>805</v>
      </c>
      <c r="D236" s="63"/>
      <c r="E236" s="61"/>
      <c r="F236" s="388">
        <f>IF(S13&gt;0,S13*'Gårdens info'!$G$34/10,0)</f>
        <v>0</v>
      </c>
      <c r="G236" s="61" t="s">
        <v>116</v>
      </c>
      <c r="H236" s="77">
        <v>0.1</v>
      </c>
      <c r="I236" s="62" t="s">
        <v>74</v>
      </c>
      <c r="J236" s="64">
        <f t="shared" si="18"/>
        <v>0</v>
      </c>
      <c r="K236" s="61" t="s">
        <v>57</v>
      </c>
      <c r="L236" s="63"/>
      <c r="M236" s="63"/>
    </row>
    <row r="237" spans="1:13" ht="13.8" thickBot="1" x14ac:dyDescent="0.3">
      <c r="A237" s="310"/>
      <c r="B237" s="61"/>
      <c r="C237" s="61" t="s">
        <v>270</v>
      </c>
      <c r="D237" s="63"/>
      <c r="E237" s="61"/>
      <c r="F237" s="388">
        <f>IF(S14&gt;0,S14*'Gårdens info'!$G$34/0.5,0)</f>
        <v>13666.666666666666</v>
      </c>
      <c r="G237" s="61" t="s">
        <v>116</v>
      </c>
      <c r="H237" s="77">
        <v>0.04</v>
      </c>
      <c r="I237" s="62" t="s">
        <v>74</v>
      </c>
      <c r="J237" s="64">
        <f t="shared" si="18"/>
        <v>546.66666666666663</v>
      </c>
      <c r="K237" s="61" t="s">
        <v>57</v>
      </c>
      <c r="L237" s="63"/>
      <c r="M237" s="63"/>
    </row>
    <row r="238" spans="1:13" ht="13.8" thickBot="1" x14ac:dyDescent="0.3">
      <c r="A238" s="310"/>
      <c r="B238" s="61"/>
      <c r="C238" s="74" t="s">
        <v>272</v>
      </c>
      <c r="D238" s="74"/>
      <c r="E238" s="61" t="s">
        <v>212</v>
      </c>
      <c r="F238" s="388">
        <f>IF(S15&gt;0,S15*'Gårdens info'!$G$34/D238,0)</f>
        <v>0</v>
      </c>
      <c r="G238" s="61" t="s">
        <v>116</v>
      </c>
      <c r="H238" s="77"/>
      <c r="I238" s="62" t="s">
        <v>74</v>
      </c>
      <c r="J238" s="64">
        <f t="shared" si="18"/>
        <v>0</v>
      </c>
      <c r="K238" s="61" t="s">
        <v>57</v>
      </c>
      <c r="L238" s="63"/>
      <c r="M238" s="63"/>
    </row>
    <row r="239" spans="1:13" ht="13.8" thickBot="1" x14ac:dyDescent="0.3">
      <c r="A239" s="310"/>
      <c r="B239" s="61"/>
      <c r="C239" s="74" t="s">
        <v>272</v>
      </c>
      <c r="D239" s="74"/>
      <c r="E239" s="61" t="s">
        <v>212</v>
      </c>
      <c r="F239" s="388">
        <f>IF(S16&gt;0,S16*'Gårdens info'!$G$34/D239,0)</f>
        <v>0</v>
      </c>
      <c r="G239" s="61" t="s">
        <v>116</v>
      </c>
      <c r="H239" s="77"/>
      <c r="I239" s="62" t="s">
        <v>74</v>
      </c>
      <c r="J239" s="64">
        <f t="shared" si="18"/>
        <v>0</v>
      </c>
      <c r="K239" s="61" t="s">
        <v>57</v>
      </c>
      <c r="L239" s="63"/>
      <c r="M239" s="63"/>
    </row>
    <row r="240" spans="1:13" ht="13.8" thickBot="1" x14ac:dyDescent="0.3">
      <c r="B240" s="61"/>
      <c r="C240" s="74" t="s">
        <v>272</v>
      </c>
      <c r="D240" s="74"/>
      <c r="E240" s="61" t="s">
        <v>212</v>
      </c>
      <c r="F240" s="388">
        <f>IF(S17&gt;0,S17*'Gårdens info'!$G$34/D240,0)</f>
        <v>0</v>
      </c>
      <c r="G240" s="61" t="s">
        <v>116</v>
      </c>
      <c r="H240" s="77"/>
      <c r="I240" s="62" t="s">
        <v>74</v>
      </c>
      <c r="J240" s="64">
        <f t="shared" si="18"/>
        <v>0</v>
      </c>
      <c r="K240" s="61" t="s">
        <v>57</v>
      </c>
      <c r="L240" s="63"/>
      <c r="M240" s="63"/>
    </row>
    <row r="241" spans="1:26" x14ac:dyDescent="0.25">
      <c r="B241" s="198"/>
      <c r="C241" s="198" t="s">
        <v>54</v>
      </c>
      <c r="D241" s="198"/>
      <c r="E241" s="198"/>
      <c r="F241" s="198"/>
      <c r="G241" s="198"/>
      <c r="H241" s="199"/>
      <c r="I241" s="199"/>
      <c r="J241" s="200">
        <f>SUM(J234:J240)</f>
        <v>546.66666666666663</v>
      </c>
      <c r="K241" s="198" t="s">
        <v>57</v>
      </c>
      <c r="L241" s="198"/>
      <c r="M241" s="198"/>
    </row>
    <row r="242" spans="1:26" s="5" customFormat="1" x14ac:dyDescent="0.25">
      <c r="A242" s="305"/>
      <c r="B242" s="61"/>
      <c r="C242" s="61"/>
      <c r="D242" s="61"/>
      <c r="E242" s="61"/>
      <c r="F242" s="61"/>
      <c r="G242" s="61"/>
      <c r="H242" s="62"/>
      <c r="I242" s="62"/>
      <c r="J242" s="64"/>
      <c r="K242" s="61"/>
      <c r="L242" s="63"/>
      <c r="M242" s="63"/>
      <c r="N242"/>
      <c r="O242"/>
      <c r="P242"/>
      <c r="Q242"/>
      <c r="R242"/>
      <c r="S242"/>
      <c r="T242"/>
      <c r="U242"/>
      <c r="Y242"/>
      <c r="Z242"/>
    </row>
    <row r="243" spans="1:26" x14ac:dyDescent="0.25">
      <c r="B243" s="116"/>
      <c r="C243" s="116"/>
      <c r="D243" s="116"/>
      <c r="E243" s="116"/>
      <c r="F243" s="116"/>
      <c r="G243" s="116"/>
      <c r="H243" s="116"/>
      <c r="I243" s="116"/>
      <c r="J243" s="116"/>
      <c r="K243" s="116"/>
      <c r="L243" s="116"/>
      <c r="M243" s="116"/>
      <c r="N243" s="5"/>
      <c r="O243" s="5"/>
      <c r="P243" s="5"/>
      <c r="Q243" s="5"/>
      <c r="R243" s="5"/>
      <c r="S243" s="5"/>
      <c r="T243" s="5"/>
      <c r="U243" s="5"/>
      <c r="Y243" s="5"/>
      <c r="Z243" s="5"/>
    </row>
    <row r="244" spans="1:26" ht="30" customHeight="1" x14ac:dyDescent="0.25">
      <c r="B244" s="435"/>
      <c r="C244" s="435"/>
      <c r="D244" s="435"/>
      <c r="E244" s="435"/>
      <c r="F244" s="439"/>
      <c r="G244" s="439"/>
      <c r="H244" s="437"/>
      <c r="I244" s="437"/>
      <c r="J244" s="116"/>
      <c r="K244" s="435"/>
      <c r="L244" s="116"/>
      <c r="M244" s="116"/>
    </row>
    <row r="245" spans="1:26" ht="30" customHeight="1" x14ac:dyDescent="0.3">
      <c r="B245" s="87" t="s">
        <v>774</v>
      </c>
      <c r="C245" s="65"/>
      <c r="D245" s="65"/>
      <c r="E245" s="65"/>
      <c r="F245" s="1072" t="s">
        <v>114</v>
      </c>
      <c r="G245" s="1072"/>
      <c r="H245" s="1072" t="s">
        <v>113</v>
      </c>
      <c r="I245" s="1072"/>
      <c r="J245" s="1072" t="s">
        <v>243</v>
      </c>
      <c r="K245" s="1072"/>
      <c r="L245" s="67"/>
      <c r="M245" s="67"/>
    </row>
    <row r="246" spans="1:26" ht="13.8" thickBot="1" x14ac:dyDescent="0.3">
      <c r="B246" s="65"/>
      <c r="C246" s="65"/>
      <c r="D246" s="65"/>
      <c r="E246" s="65"/>
      <c r="F246" s="65"/>
      <c r="G246" s="65"/>
      <c r="H246" s="66"/>
      <c r="I246" s="66"/>
      <c r="J246" s="67"/>
      <c r="K246" s="67"/>
      <c r="L246" s="67"/>
      <c r="M246" s="67"/>
    </row>
    <row r="247" spans="1:26" ht="13.8" thickBot="1" x14ac:dyDescent="0.3">
      <c r="B247" s="65"/>
      <c r="C247" s="65" t="s">
        <v>753</v>
      </c>
      <c r="D247" s="67"/>
      <c r="E247" s="65"/>
      <c r="F247" s="74">
        <f>'Gårdens info'!D34*'Gårdens info'!G34</f>
        <v>68333.333333333328</v>
      </c>
      <c r="G247" s="65" t="s">
        <v>212</v>
      </c>
      <c r="H247" s="77">
        <v>0.05</v>
      </c>
      <c r="I247" s="66" t="s">
        <v>206</v>
      </c>
      <c r="J247" s="68">
        <f t="shared" ref="J247:J249" si="19">F247*H247</f>
        <v>3416.6666666666665</v>
      </c>
      <c r="K247" s="65" t="s">
        <v>57</v>
      </c>
      <c r="L247" s="67"/>
      <c r="M247" s="67"/>
    </row>
    <row r="248" spans="1:26" ht="13.8" thickBot="1" x14ac:dyDescent="0.3">
      <c r="B248" s="65"/>
      <c r="C248" s="65" t="s">
        <v>274</v>
      </c>
      <c r="D248" s="65"/>
      <c r="E248" s="65"/>
      <c r="F248" s="74"/>
      <c r="G248" s="65" t="s">
        <v>212</v>
      </c>
      <c r="H248" s="77"/>
      <c r="I248" s="66" t="s">
        <v>206</v>
      </c>
      <c r="J248" s="68">
        <f t="shared" si="19"/>
        <v>0</v>
      </c>
      <c r="K248" s="65" t="s">
        <v>57</v>
      </c>
      <c r="L248" s="67"/>
      <c r="M248" s="67"/>
    </row>
    <row r="249" spans="1:26" ht="13.8" thickBot="1" x14ac:dyDescent="0.3">
      <c r="B249" s="65"/>
      <c r="C249" s="65" t="s">
        <v>274</v>
      </c>
      <c r="D249" s="65"/>
      <c r="E249" s="65"/>
      <c r="F249" s="74"/>
      <c r="G249" s="65" t="s">
        <v>212</v>
      </c>
      <c r="H249" s="77"/>
      <c r="I249" s="66" t="s">
        <v>206</v>
      </c>
      <c r="J249" s="68">
        <f t="shared" si="19"/>
        <v>0</v>
      </c>
      <c r="K249" s="65" t="s">
        <v>57</v>
      </c>
      <c r="L249" s="67"/>
      <c r="M249" s="67"/>
    </row>
    <row r="250" spans="1:26" x14ac:dyDescent="0.25">
      <c r="B250" s="201"/>
      <c r="C250" s="201" t="s">
        <v>54</v>
      </c>
      <c r="D250" s="201"/>
      <c r="E250" s="201"/>
      <c r="F250" s="201"/>
      <c r="G250" s="201"/>
      <c r="H250" s="202"/>
      <c r="I250" s="202"/>
      <c r="J250" s="203">
        <f>SUM(J247:J249)</f>
        <v>3416.6666666666665</v>
      </c>
      <c r="K250" s="201" t="s">
        <v>57</v>
      </c>
      <c r="L250" s="201"/>
      <c r="M250" s="201"/>
    </row>
    <row r="251" spans="1:26" s="5" customFormat="1" x14ac:dyDescent="0.25">
      <c r="A251" s="305"/>
      <c r="B251" s="65"/>
      <c r="C251" s="65"/>
      <c r="D251" s="65"/>
      <c r="E251" s="65"/>
      <c r="F251" s="65"/>
      <c r="G251" s="65"/>
      <c r="H251" s="66"/>
      <c r="I251" s="66"/>
      <c r="J251" s="68"/>
      <c r="K251" s="65"/>
      <c r="L251" s="67"/>
      <c r="M251" s="67"/>
      <c r="N251"/>
      <c r="O251"/>
      <c r="P251"/>
      <c r="Q251"/>
      <c r="R251"/>
      <c r="S251"/>
      <c r="T251"/>
      <c r="U251"/>
      <c r="Y251"/>
      <c r="Z251"/>
    </row>
    <row r="252" spans="1:26" x14ac:dyDescent="0.25">
      <c r="B252" s="116"/>
      <c r="C252" s="116"/>
      <c r="D252" s="116"/>
      <c r="E252" s="116"/>
      <c r="F252" s="116"/>
      <c r="G252" s="116"/>
      <c r="H252" s="116"/>
      <c r="I252" s="116"/>
      <c r="J252" s="116"/>
      <c r="K252" s="116"/>
      <c r="L252" s="116"/>
      <c r="M252" s="116"/>
      <c r="N252" s="5"/>
      <c r="O252" s="5"/>
      <c r="P252" s="5"/>
      <c r="Q252" s="5"/>
      <c r="R252" s="5"/>
      <c r="S252" s="5"/>
      <c r="T252" s="5"/>
      <c r="U252" s="5"/>
      <c r="Y252" s="5"/>
      <c r="Z252" s="5"/>
    </row>
    <row r="253" spans="1:26" ht="30" customHeight="1" x14ac:dyDescent="0.25">
      <c r="B253" s="435"/>
      <c r="C253" s="435"/>
      <c r="D253" s="435"/>
      <c r="E253" s="435"/>
      <c r="F253" s="439"/>
      <c r="G253" s="439"/>
      <c r="H253" s="437"/>
      <c r="I253" s="437"/>
      <c r="J253" s="116"/>
      <c r="K253" s="435"/>
      <c r="L253" s="116"/>
      <c r="M253" s="116"/>
    </row>
    <row r="254" spans="1:26" ht="15.6" x14ac:dyDescent="0.3">
      <c r="B254" s="176" t="s">
        <v>775</v>
      </c>
      <c r="C254" s="177"/>
      <c r="D254" s="177"/>
      <c r="E254" s="177"/>
      <c r="F254" s="1067" t="s">
        <v>114</v>
      </c>
      <c r="G254" s="1067"/>
      <c r="H254" s="1067" t="s">
        <v>113</v>
      </c>
      <c r="I254" s="1067"/>
      <c r="J254" s="1067" t="s">
        <v>243</v>
      </c>
      <c r="K254" s="1067"/>
      <c r="L254" s="179"/>
      <c r="M254" s="179"/>
    </row>
    <row r="255" spans="1:26" ht="13.8" thickBot="1" x14ac:dyDescent="0.3">
      <c r="B255" s="177"/>
      <c r="C255" s="177"/>
      <c r="D255" s="177"/>
      <c r="E255" s="177"/>
      <c r="F255" s="177"/>
      <c r="G255" s="177"/>
      <c r="H255" s="178"/>
      <c r="I255" s="178"/>
      <c r="J255" s="179"/>
      <c r="K255" s="179"/>
      <c r="L255" s="179"/>
      <c r="M255" s="179"/>
    </row>
    <row r="256" spans="1:26" ht="13.8" thickBot="1" x14ac:dyDescent="0.3">
      <c r="B256" s="177"/>
      <c r="C256" s="177" t="s">
        <v>276</v>
      </c>
      <c r="D256" s="179"/>
      <c r="E256" s="177"/>
      <c r="F256" s="74"/>
      <c r="G256" s="177" t="s">
        <v>7</v>
      </c>
      <c r="H256" s="77"/>
      <c r="I256" s="178" t="s">
        <v>57</v>
      </c>
      <c r="J256" s="180">
        <f t="shared" ref="J256:J258" si="20">F256*H256</f>
        <v>0</v>
      </c>
      <c r="K256" s="177" t="s">
        <v>57</v>
      </c>
      <c r="L256" s="179"/>
      <c r="M256" s="179"/>
    </row>
    <row r="257" spans="1:26" ht="13.8" thickBot="1" x14ac:dyDescent="0.3">
      <c r="B257" s="177"/>
      <c r="C257" s="177" t="s">
        <v>276</v>
      </c>
      <c r="D257" s="177"/>
      <c r="E257" s="177"/>
      <c r="F257" s="74"/>
      <c r="G257" s="177" t="s">
        <v>7</v>
      </c>
      <c r="H257" s="77"/>
      <c r="I257" s="178" t="s">
        <v>57</v>
      </c>
      <c r="J257" s="180">
        <f t="shared" si="20"/>
        <v>0</v>
      </c>
      <c r="K257" s="177" t="s">
        <v>57</v>
      </c>
      <c r="L257" s="179"/>
      <c r="M257" s="179"/>
    </row>
    <row r="258" spans="1:26" ht="13.8" thickBot="1" x14ac:dyDescent="0.3">
      <c r="B258" s="177"/>
      <c r="C258" s="177" t="s">
        <v>276</v>
      </c>
      <c r="D258" s="177"/>
      <c r="E258" s="177"/>
      <c r="F258" s="74"/>
      <c r="G258" s="177" t="s">
        <v>7</v>
      </c>
      <c r="H258" s="77"/>
      <c r="I258" s="178" t="s">
        <v>57</v>
      </c>
      <c r="J258" s="180">
        <f t="shared" si="20"/>
        <v>0</v>
      </c>
      <c r="K258" s="177" t="s">
        <v>57</v>
      </c>
      <c r="L258" s="179"/>
      <c r="M258" s="179"/>
    </row>
    <row r="259" spans="1:26" s="5" customFormat="1" x14ac:dyDescent="0.25">
      <c r="A259" s="305"/>
      <c r="B259" s="204"/>
      <c r="C259" s="204" t="s">
        <v>54</v>
      </c>
      <c r="D259" s="204"/>
      <c r="E259" s="204"/>
      <c r="F259" s="204"/>
      <c r="G259" s="204"/>
      <c r="H259" s="205"/>
      <c r="I259" s="205"/>
      <c r="J259" s="206">
        <f>SUM(J256:J258)</f>
        <v>0</v>
      </c>
      <c r="K259" s="204" t="s">
        <v>57</v>
      </c>
      <c r="L259" s="204"/>
      <c r="M259" s="204"/>
      <c r="N259"/>
      <c r="O259"/>
      <c r="P259"/>
      <c r="Q259"/>
      <c r="R259"/>
      <c r="S259"/>
      <c r="T259"/>
      <c r="U259"/>
      <c r="Y259"/>
      <c r="Z259"/>
    </row>
    <row r="260" spans="1:26" x14ac:dyDescent="0.25">
      <c r="B260" s="177"/>
      <c r="C260" s="177"/>
      <c r="D260" s="177"/>
      <c r="E260" s="177"/>
      <c r="F260" s="177"/>
      <c r="G260" s="177"/>
      <c r="H260" s="178"/>
      <c r="I260" s="178"/>
      <c r="J260" s="180"/>
      <c r="K260" s="177"/>
      <c r="L260" s="179"/>
      <c r="M260" s="179"/>
      <c r="N260" s="5"/>
      <c r="O260" s="5"/>
      <c r="P260" s="5"/>
      <c r="Q260" s="5"/>
      <c r="R260" s="5"/>
      <c r="S260" s="5"/>
      <c r="T260" s="5"/>
      <c r="U260" s="5"/>
      <c r="Y260" s="5"/>
      <c r="Z260" s="5"/>
    </row>
    <row r="261" spans="1:26" ht="33" customHeight="1" x14ac:dyDescent="0.25">
      <c r="B261" s="116"/>
      <c r="C261" s="116"/>
      <c r="D261" s="116"/>
      <c r="E261" s="116"/>
      <c r="F261" s="116"/>
      <c r="G261" s="116"/>
      <c r="H261" s="116"/>
      <c r="I261" s="116"/>
      <c r="J261" s="116"/>
      <c r="K261" s="116"/>
      <c r="L261" s="116"/>
      <c r="M261" s="116"/>
    </row>
    <row r="262" spans="1:26" ht="15.6" x14ac:dyDescent="0.3">
      <c r="B262" s="181" t="s">
        <v>745</v>
      </c>
      <c r="C262" s="182"/>
      <c r="D262" s="182"/>
      <c r="E262" s="183"/>
      <c r="F262" s="182" t="s">
        <v>114</v>
      </c>
      <c r="G262" s="184"/>
      <c r="H262" s="184" t="s">
        <v>113</v>
      </c>
      <c r="I262" s="182"/>
      <c r="J262" s="182" t="s">
        <v>243</v>
      </c>
      <c r="K262" s="185"/>
      <c r="L262" s="185"/>
      <c r="M262" s="185"/>
    </row>
    <row r="263" spans="1:26" ht="16.2" thickBot="1" x14ac:dyDescent="0.35">
      <c r="B263" s="181"/>
      <c r="C263" s="182"/>
      <c r="D263" s="182"/>
      <c r="E263" s="183"/>
      <c r="F263" s="182"/>
      <c r="G263" s="184"/>
      <c r="H263" s="184"/>
      <c r="I263" s="182"/>
      <c r="J263" s="182"/>
      <c r="K263" s="185"/>
      <c r="L263" s="185"/>
      <c r="M263" s="185"/>
    </row>
    <row r="264" spans="1:26" ht="13.8" thickBot="1" x14ac:dyDescent="0.3">
      <c r="B264" s="182"/>
      <c r="C264" s="182" t="s">
        <v>278</v>
      </c>
      <c r="D264" s="185"/>
      <c r="E264" s="186"/>
      <c r="F264" s="74"/>
      <c r="G264" s="187" t="s">
        <v>279</v>
      </c>
      <c r="H264" s="74"/>
      <c r="I264" s="188" t="s">
        <v>280</v>
      </c>
      <c r="J264" s="185">
        <f>H264*F264</f>
        <v>0</v>
      </c>
      <c r="K264" s="188" t="s">
        <v>57</v>
      </c>
      <c r="L264" s="185"/>
      <c r="M264" s="185"/>
    </row>
    <row r="265" spans="1:26" ht="13.8" thickBot="1" x14ac:dyDescent="0.3">
      <c r="B265" s="182"/>
      <c r="C265" s="182" t="s">
        <v>685</v>
      </c>
      <c r="D265" s="188">
        <f>F296/2</f>
        <v>43.5</v>
      </c>
      <c r="E265" s="182" t="s">
        <v>282</v>
      </c>
      <c r="F265" s="74">
        <f>+D265*8</f>
        <v>348</v>
      </c>
      <c r="G265" s="184" t="s">
        <v>256</v>
      </c>
      <c r="H265" s="74">
        <v>0.83</v>
      </c>
      <c r="I265" s="188" t="s">
        <v>257</v>
      </c>
      <c r="J265" s="185">
        <f>H265*F265</f>
        <v>288.83999999999997</v>
      </c>
      <c r="K265" s="188" t="s">
        <v>57</v>
      </c>
      <c r="L265" s="185"/>
      <c r="M265" s="185"/>
    </row>
    <row r="266" spans="1:26" ht="13.8" thickBot="1" x14ac:dyDescent="0.3">
      <c r="B266" s="182"/>
      <c r="C266" s="182" t="s">
        <v>686</v>
      </c>
      <c r="D266" s="188">
        <f>D265</f>
        <v>43.5</v>
      </c>
      <c r="E266" s="182" t="s">
        <v>282</v>
      </c>
      <c r="F266" s="74">
        <v>11.88</v>
      </c>
      <c r="G266" s="184" t="s">
        <v>212</v>
      </c>
      <c r="H266" s="74">
        <v>4</v>
      </c>
      <c r="I266" s="188" t="s">
        <v>206</v>
      </c>
      <c r="J266" s="185">
        <f t="shared" ref="J266:J270" si="21">H266*F266</f>
        <v>47.52</v>
      </c>
      <c r="K266" s="188" t="s">
        <v>57</v>
      </c>
      <c r="L266" s="185"/>
      <c r="M266" s="185"/>
    </row>
    <row r="267" spans="1:26" ht="13.8" thickBot="1" x14ac:dyDescent="0.3">
      <c r="B267" s="182"/>
      <c r="C267" s="182" t="s">
        <v>284</v>
      </c>
      <c r="D267" s="185"/>
      <c r="E267" s="188"/>
      <c r="F267" s="74">
        <v>200</v>
      </c>
      <c r="G267" s="184" t="s">
        <v>256</v>
      </c>
      <c r="H267" s="74">
        <v>1.53</v>
      </c>
      <c r="I267" s="188" t="s">
        <v>257</v>
      </c>
      <c r="J267" s="185">
        <f t="shared" si="21"/>
        <v>306</v>
      </c>
      <c r="K267" s="188" t="s">
        <v>57</v>
      </c>
      <c r="L267" s="185"/>
      <c r="M267" s="185"/>
    </row>
    <row r="268" spans="1:26" ht="13.8" thickBot="1" x14ac:dyDescent="0.3">
      <c r="B268" s="182"/>
      <c r="C268" s="182" t="s">
        <v>285</v>
      </c>
      <c r="D268" s="185"/>
      <c r="E268" s="188"/>
      <c r="F268" s="74">
        <v>1.48</v>
      </c>
      <c r="G268" s="184" t="s">
        <v>256</v>
      </c>
      <c r="H268" s="74">
        <v>1.6</v>
      </c>
      <c r="I268" s="188" t="s">
        <v>257</v>
      </c>
      <c r="J268" s="185">
        <f t="shared" si="21"/>
        <v>2.3679999999999999</v>
      </c>
      <c r="K268" s="188" t="s">
        <v>57</v>
      </c>
      <c r="L268" s="185"/>
      <c r="M268" s="185"/>
    </row>
    <row r="269" spans="1:26" ht="13.8" thickBot="1" x14ac:dyDescent="0.3">
      <c r="B269" s="182"/>
      <c r="C269" s="182" t="s">
        <v>286</v>
      </c>
      <c r="D269" s="185"/>
      <c r="E269" s="188"/>
      <c r="F269" s="74"/>
      <c r="G269" s="184"/>
      <c r="H269" s="74"/>
      <c r="I269" s="188"/>
      <c r="J269" s="185">
        <f t="shared" si="21"/>
        <v>0</v>
      </c>
      <c r="K269" s="188" t="s">
        <v>57</v>
      </c>
      <c r="L269" s="185"/>
      <c r="M269" s="185"/>
    </row>
    <row r="270" spans="1:26" ht="13.8" thickBot="1" x14ac:dyDescent="0.3">
      <c r="B270" s="185"/>
      <c r="C270" s="182" t="s">
        <v>286</v>
      </c>
      <c r="D270" s="185"/>
      <c r="E270" s="185"/>
      <c r="F270" s="74"/>
      <c r="G270" s="185"/>
      <c r="H270" s="74"/>
      <c r="I270" s="185"/>
      <c r="J270" s="185">
        <f t="shared" si="21"/>
        <v>0</v>
      </c>
      <c r="K270" s="188" t="s">
        <v>57</v>
      </c>
      <c r="L270" s="185"/>
      <c r="M270" s="185"/>
    </row>
    <row r="271" spans="1:26" s="5" customFormat="1" x14ac:dyDescent="0.25">
      <c r="A271" s="305"/>
      <c r="B271" s="207"/>
      <c r="C271" s="207" t="s">
        <v>54</v>
      </c>
      <c r="D271" s="207"/>
      <c r="E271" s="207"/>
      <c r="F271" s="207"/>
      <c r="G271" s="207"/>
      <c r="H271" s="207"/>
      <c r="I271" s="207"/>
      <c r="J271" s="207">
        <f>SUM(J264:J270)</f>
        <v>644.72799999999995</v>
      </c>
      <c r="K271" s="208" t="s">
        <v>57</v>
      </c>
      <c r="L271" s="207"/>
      <c r="M271" s="207"/>
      <c r="N271"/>
      <c r="O271"/>
      <c r="P271"/>
      <c r="Q271"/>
      <c r="R271"/>
      <c r="S271"/>
      <c r="T271"/>
      <c r="U271"/>
      <c r="Y271"/>
      <c r="Z271"/>
    </row>
    <row r="272" spans="1:26" x14ac:dyDescent="0.25">
      <c r="B272" s="185"/>
      <c r="C272" s="185"/>
      <c r="D272" s="185"/>
      <c r="E272" s="185"/>
      <c r="F272" s="185"/>
      <c r="G272" s="185"/>
      <c r="H272" s="185"/>
      <c r="I272" s="185"/>
      <c r="J272" s="185"/>
      <c r="K272" s="185"/>
      <c r="L272" s="185"/>
      <c r="M272" s="185"/>
      <c r="N272" s="5"/>
      <c r="O272" s="5"/>
      <c r="P272" s="5"/>
      <c r="Q272" s="5"/>
      <c r="R272" s="5"/>
      <c r="S272" s="5"/>
      <c r="T272" s="5"/>
      <c r="U272" s="5"/>
      <c r="Y272" s="5"/>
      <c r="Z272" s="5"/>
    </row>
    <row r="273" spans="2:13" ht="37.950000000000003" customHeight="1" x14ac:dyDescent="0.25">
      <c r="B273" s="116"/>
      <c r="C273" s="116"/>
      <c r="D273" s="116"/>
      <c r="E273" s="116"/>
      <c r="F273" s="116"/>
      <c r="G273" s="116"/>
      <c r="H273" s="116"/>
      <c r="I273" s="116"/>
      <c r="J273" s="116"/>
      <c r="K273" s="116"/>
      <c r="L273" s="116"/>
      <c r="M273" s="116"/>
    </row>
    <row r="274" spans="2:13" ht="22.2" customHeight="1" x14ac:dyDescent="0.3">
      <c r="B274" s="88" t="s">
        <v>746</v>
      </c>
      <c r="C274" s="82"/>
      <c r="D274" s="79"/>
      <c r="E274" s="79"/>
      <c r="F274" s="79"/>
      <c r="G274" s="79"/>
      <c r="H274" s="79"/>
      <c r="I274" s="79"/>
      <c r="J274" s="79"/>
      <c r="K274" s="79"/>
      <c r="L274" s="79"/>
      <c r="M274" s="79"/>
    </row>
    <row r="275" spans="2:13" ht="12" customHeight="1" x14ac:dyDescent="0.3">
      <c r="B275" s="88"/>
      <c r="C275" s="79"/>
      <c r="D275" s="79"/>
      <c r="E275" s="79"/>
      <c r="F275" s="79"/>
      <c r="G275" s="79"/>
      <c r="H275" s="79"/>
      <c r="I275" s="79"/>
      <c r="J275" s="79"/>
      <c r="K275" s="79"/>
      <c r="L275" s="79"/>
      <c r="M275" s="79"/>
    </row>
    <row r="276" spans="2:13" ht="40.200000000000003" customHeight="1" x14ac:dyDescent="0.25">
      <c r="B276" s="1096" t="s">
        <v>699</v>
      </c>
      <c r="C276" s="1096"/>
      <c r="D276" s="1096"/>
      <c r="E276" s="1096"/>
      <c r="F276" s="1096"/>
      <c r="G276" s="1096"/>
      <c r="H276" s="1096"/>
      <c r="I276" s="1096"/>
      <c r="J276" s="1096"/>
      <c r="K276" s="1096"/>
      <c r="L276" s="1096"/>
      <c r="M276" s="1096"/>
    </row>
    <row r="277" spans="2:13" ht="22.2" customHeight="1" x14ac:dyDescent="0.3">
      <c r="B277" s="88"/>
      <c r="C277" s="79"/>
      <c r="D277" s="79"/>
      <c r="E277" s="83"/>
      <c r="F277" s="83"/>
      <c r="G277" s="83"/>
      <c r="H277" s="84"/>
      <c r="I277" s="84"/>
      <c r="J277" s="83"/>
      <c r="K277" s="83"/>
      <c r="L277" s="84"/>
      <c r="M277" s="84"/>
    </row>
    <row r="278" spans="2:13" ht="22.2" customHeight="1" x14ac:dyDescent="0.3">
      <c r="B278" s="88"/>
      <c r="C278" s="79"/>
      <c r="D278" s="79"/>
      <c r="E278" s="1069" t="s">
        <v>290</v>
      </c>
      <c r="F278" s="1069"/>
      <c r="G278" s="1069"/>
      <c r="H278" s="1070" t="s">
        <v>113</v>
      </c>
      <c r="I278" s="1070"/>
      <c r="J278" s="1069" t="s">
        <v>291</v>
      </c>
      <c r="K278" s="1069"/>
      <c r="L278" s="1070" t="s">
        <v>113</v>
      </c>
      <c r="M278" s="1070"/>
    </row>
    <row r="279" spans="2:13" ht="10.95" customHeight="1" thickBot="1" x14ac:dyDescent="0.3">
      <c r="B279" s="78"/>
      <c r="C279" s="79"/>
      <c r="D279" s="79"/>
      <c r="E279" s="79"/>
      <c r="F279" s="79"/>
      <c r="G279" s="79"/>
      <c r="H279" s="79"/>
      <c r="I279" s="79"/>
      <c r="J279" s="79"/>
      <c r="K279" s="79"/>
      <c r="L279" s="79"/>
      <c r="M279" s="79"/>
    </row>
    <row r="280" spans="2:13" ht="13.8" thickBot="1" x14ac:dyDescent="0.3">
      <c r="B280" s="79"/>
      <c r="C280" s="80" t="s">
        <v>297</v>
      </c>
      <c r="D280" s="79"/>
      <c r="E280" s="79"/>
      <c r="F280" s="91">
        <v>2</v>
      </c>
      <c r="G280" s="82" t="s">
        <v>293</v>
      </c>
      <c r="H280" s="90">
        <f t="shared" ref="H280:H295" si="22">$H$168</f>
        <v>14.5</v>
      </c>
      <c r="I280" s="82" t="s">
        <v>294</v>
      </c>
      <c r="J280" s="92"/>
      <c r="K280" s="82" t="s">
        <v>293</v>
      </c>
      <c r="L280" s="90">
        <f t="shared" ref="L280:L295" si="23">$L$168</f>
        <v>14.5</v>
      </c>
      <c r="M280" s="82" t="s">
        <v>294</v>
      </c>
    </row>
    <row r="281" spans="2:13" ht="13.8" thickBot="1" x14ac:dyDescent="0.3">
      <c r="B281" s="79"/>
      <c r="C281" s="80" t="s">
        <v>747</v>
      </c>
      <c r="D281" s="79"/>
      <c r="E281" s="79"/>
      <c r="F281" s="91">
        <v>5</v>
      </c>
      <c r="G281" s="82" t="s">
        <v>293</v>
      </c>
      <c r="H281" s="90">
        <f t="shared" si="22"/>
        <v>14.5</v>
      </c>
      <c r="I281" s="82" t="s">
        <v>294</v>
      </c>
      <c r="J281" s="92"/>
      <c r="K281" s="82" t="s">
        <v>293</v>
      </c>
      <c r="L281" s="90">
        <f t="shared" si="23"/>
        <v>14.5</v>
      </c>
      <c r="M281" s="82" t="s">
        <v>294</v>
      </c>
    </row>
    <row r="282" spans="2:13" ht="13.8" thickBot="1" x14ac:dyDescent="0.3">
      <c r="B282" s="79"/>
      <c r="C282" s="80" t="s">
        <v>806</v>
      </c>
      <c r="D282" s="79"/>
      <c r="E282" s="79"/>
      <c r="F282" s="91">
        <v>1</v>
      </c>
      <c r="G282" s="82" t="s">
        <v>293</v>
      </c>
      <c r="H282" s="90">
        <f t="shared" si="22"/>
        <v>14.5</v>
      </c>
      <c r="I282" s="82" t="s">
        <v>294</v>
      </c>
      <c r="J282" s="92"/>
      <c r="K282" s="82" t="s">
        <v>293</v>
      </c>
      <c r="L282" s="90">
        <f t="shared" si="23"/>
        <v>14.5</v>
      </c>
      <c r="M282" s="82" t="s">
        <v>294</v>
      </c>
    </row>
    <row r="283" spans="2:13" ht="13.8" thickBot="1" x14ac:dyDescent="0.3">
      <c r="B283" s="79"/>
      <c r="C283" s="80" t="s">
        <v>692</v>
      </c>
      <c r="D283" s="79"/>
      <c r="E283" s="79"/>
      <c r="F283" s="91">
        <v>27</v>
      </c>
      <c r="G283" s="82" t="s">
        <v>293</v>
      </c>
      <c r="H283" s="90">
        <f t="shared" si="22"/>
        <v>14.5</v>
      </c>
      <c r="I283" s="82" t="s">
        <v>294</v>
      </c>
      <c r="J283" s="92"/>
      <c r="K283" s="82" t="s">
        <v>293</v>
      </c>
      <c r="L283" s="90">
        <f t="shared" si="23"/>
        <v>14.5</v>
      </c>
      <c r="M283" s="82" t="s">
        <v>294</v>
      </c>
    </row>
    <row r="284" spans="2:13" ht="13.8" thickBot="1" x14ac:dyDescent="0.3">
      <c r="B284" s="79"/>
      <c r="C284" s="80" t="s">
        <v>807</v>
      </c>
      <c r="D284" s="79"/>
      <c r="E284" s="79"/>
      <c r="F284" s="91">
        <v>8</v>
      </c>
      <c r="G284" s="82" t="s">
        <v>293</v>
      </c>
      <c r="H284" s="90">
        <f t="shared" si="22"/>
        <v>14.5</v>
      </c>
      <c r="I284" s="82" t="s">
        <v>294</v>
      </c>
      <c r="J284" s="92"/>
      <c r="K284" s="82" t="s">
        <v>293</v>
      </c>
      <c r="L284" s="90">
        <f t="shared" si="23"/>
        <v>14.5</v>
      </c>
      <c r="M284" s="82" t="s">
        <v>294</v>
      </c>
    </row>
    <row r="285" spans="2:13" ht="13.8" thickBot="1" x14ac:dyDescent="0.3">
      <c r="B285" s="79"/>
      <c r="C285" s="80" t="s">
        <v>569</v>
      </c>
      <c r="D285" s="79"/>
      <c r="E285" s="79"/>
      <c r="F285" s="91">
        <v>10</v>
      </c>
      <c r="G285" s="82" t="s">
        <v>293</v>
      </c>
      <c r="H285" s="90">
        <f t="shared" si="22"/>
        <v>14.5</v>
      </c>
      <c r="I285" s="82" t="s">
        <v>294</v>
      </c>
      <c r="J285" s="92">
        <v>10</v>
      </c>
      <c r="K285" s="82" t="s">
        <v>293</v>
      </c>
      <c r="L285" s="90">
        <f t="shared" si="23"/>
        <v>14.5</v>
      </c>
      <c r="M285" s="82" t="s">
        <v>294</v>
      </c>
    </row>
    <row r="286" spans="2:13" ht="13.8" thickBot="1" x14ac:dyDescent="0.3">
      <c r="B286" s="79"/>
      <c r="C286" s="80" t="s">
        <v>303</v>
      </c>
      <c r="D286" s="79"/>
      <c r="E286" s="79"/>
      <c r="F286" s="91">
        <v>3</v>
      </c>
      <c r="G286" s="82" t="s">
        <v>293</v>
      </c>
      <c r="H286" s="90">
        <f t="shared" si="22"/>
        <v>14.5</v>
      </c>
      <c r="I286" s="82" t="s">
        <v>294</v>
      </c>
      <c r="J286" s="92"/>
      <c r="K286" s="82" t="s">
        <v>293</v>
      </c>
      <c r="L286" s="90">
        <f t="shared" si="23"/>
        <v>14.5</v>
      </c>
      <c r="M286" s="82" t="s">
        <v>294</v>
      </c>
    </row>
    <row r="287" spans="2:13" ht="13.8" thickBot="1" x14ac:dyDescent="0.3">
      <c r="B287" s="79"/>
      <c r="C287" s="80" t="s">
        <v>808</v>
      </c>
      <c r="D287" s="79"/>
      <c r="E287" s="79"/>
      <c r="F287" s="91">
        <v>5</v>
      </c>
      <c r="G287" s="82" t="s">
        <v>293</v>
      </c>
      <c r="H287" s="90">
        <f t="shared" si="22"/>
        <v>14.5</v>
      </c>
      <c r="I287" s="82" t="s">
        <v>294</v>
      </c>
      <c r="J287" s="92"/>
      <c r="K287" s="82" t="s">
        <v>293</v>
      </c>
      <c r="L287" s="90">
        <f t="shared" si="23"/>
        <v>14.5</v>
      </c>
      <c r="M287" s="82" t="s">
        <v>294</v>
      </c>
    </row>
    <row r="288" spans="2:13" ht="13.8" thickBot="1" x14ac:dyDescent="0.3">
      <c r="B288" s="79"/>
      <c r="C288" s="80" t="s">
        <v>503</v>
      </c>
      <c r="D288" s="79"/>
      <c r="E288" s="79"/>
      <c r="F288" s="92">
        <v>10</v>
      </c>
      <c r="G288" s="82" t="s">
        <v>293</v>
      </c>
      <c r="H288" s="90">
        <f t="shared" si="22"/>
        <v>14.5</v>
      </c>
      <c r="I288" s="82" t="s">
        <v>294</v>
      </c>
      <c r="J288" s="92"/>
      <c r="K288" s="82" t="s">
        <v>293</v>
      </c>
      <c r="L288" s="90">
        <f t="shared" si="23"/>
        <v>14.5</v>
      </c>
      <c r="M288" s="82" t="s">
        <v>294</v>
      </c>
    </row>
    <row r="289" spans="1:26" ht="13.8" thickBot="1" x14ac:dyDescent="0.3">
      <c r="B289" s="79"/>
      <c r="C289" s="80" t="s">
        <v>38</v>
      </c>
      <c r="D289" s="79"/>
      <c r="E289" s="79"/>
      <c r="F289" s="91"/>
      <c r="G289" s="82" t="s">
        <v>212</v>
      </c>
      <c r="H289" s="91"/>
      <c r="I289" s="82" t="s">
        <v>206</v>
      </c>
      <c r="J289" s="91"/>
      <c r="K289" s="82" t="s">
        <v>212</v>
      </c>
      <c r="L289" s="91">
        <v>0.5</v>
      </c>
      <c r="M289" s="82" t="s">
        <v>206</v>
      </c>
    </row>
    <row r="290" spans="1:26" ht="13.8" thickBot="1" x14ac:dyDescent="0.3">
      <c r="B290" s="79"/>
      <c r="C290" s="80" t="s">
        <v>38</v>
      </c>
      <c r="D290" s="79"/>
      <c r="E290" s="79"/>
      <c r="F290" s="91">
        <v>10</v>
      </c>
      <c r="G290" s="82" t="s">
        <v>293</v>
      </c>
      <c r="H290" s="90">
        <f t="shared" ref="H290:H292" si="24">$H$168</f>
        <v>14.5</v>
      </c>
      <c r="I290" s="82" t="s">
        <v>294</v>
      </c>
      <c r="J290" s="92"/>
      <c r="K290" s="82" t="s">
        <v>293</v>
      </c>
      <c r="L290" s="90">
        <f t="shared" ref="L290:L292" si="25">$L$168</f>
        <v>14.5</v>
      </c>
      <c r="M290" s="82" t="s">
        <v>294</v>
      </c>
    </row>
    <row r="291" spans="1:26" ht="13.8" thickBot="1" x14ac:dyDescent="0.3">
      <c r="B291" s="79"/>
      <c r="C291" s="80" t="s">
        <v>689</v>
      </c>
      <c r="D291" s="79"/>
      <c r="E291" s="79"/>
      <c r="F291" s="91">
        <v>5</v>
      </c>
      <c r="G291" s="82" t="s">
        <v>293</v>
      </c>
      <c r="H291" s="90">
        <f t="shared" si="24"/>
        <v>14.5</v>
      </c>
      <c r="I291" s="82" t="s">
        <v>294</v>
      </c>
      <c r="J291" s="92"/>
      <c r="K291" s="82" t="s">
        <v>293</v>
      </c>
      <c r="L291" s="90">
        <f t="shared" si="25"/>
        <v>14.5</v>
      </c>
      <c r="M291" s="82" t="s">
        <v>294</v>
      </c>
    </row>
    <row r="292" spans="1:26" ht="13.8" thickBot="1" x14ac:dyDescent="0.3">
      <c r="B292" s="79"/>
      <c r="C292" s="80" t="s">
        <v>809</v>
      </c>
      <c r="D292" s="79"/>
      <c r="E292" s="79"/>
      <c r="F292" s="91">
        <v>1</v>
      </c>
      <c r="G292" s="82" t="s">
        <v>293</v>
      </c>
      <c r="H292" s="90">
        <f t="shared" si="24"/>
        <v>14.5</v>
      </c>
      <c r="I292" s="82" t="s">
        <v>294</v>
      </c>
      <c r="J292" s="92"/>
      <c r="K292" s="82" t="s">
        <v>293</v>
      </c>
      <c r="L292" s="90">
        <f t="shared" si="25"/>
        <v>14.5</v>
      </c>
      <c r="M292" s="82" t="s">
        <v>294</v>
      </c>
    </row>
    <row r="293" spans="1:26" ht="13.8" thickBot="1" x14ac:dyDescent="0.3">
      <c r="B293" s="79"/>
      <c r="C293" s="80" t="s">
        <v>431</v>
      </c>
      <c r="D293" s="79"/>
      <c r="E293" s="79"/>
      <c r="F293" s="92"/>
      <c r="G293" s="82" t="s">
        <v>293</v>
      </c>
      <c r="H293" s="90">
        <f t="shared" si="22"/>
        <v>14.5</v>
      </c>
      <c r="I293" s="82" t="s">
        <v>294</v>
      </c>
      <c r="J293" s="75"/>
      <c r="K293" s="82" t="s">
        <v>293</v>
      </c>
      <c r="L293" s="90">
        <f t="shared" si="23"/>
        <v>14.5</v>
      </c>
      <c r="M293" s="82" t="s">
        <v>294</v>
      </c>
    </row>
    <row r="294" spans="1:26" ht="13.8" thickBot="1" x14ac:dyDescent="0.3">
      <c r="B294" s="79"/>
      <c r="C294" s="80" t="s">
        <v>431</v>
      </c>
      <c r="D294" s="79"/>
      <c r="E294" s="79"/>
      <c r="F294" s="92"/>
      <c r="G294" s="82" t="s">
        <v>293</v>
      </c>
      <c r="H294" s="90">
        <f t="shared" si="22"/>
        <v>14.5</v>
      </c>
      <c r="I294" s="82" t="s">
        <v>294</v>
      </c>
      <c r="J294" s="75"/>
      <c r="K294" s="82" t="s">
        <v>293</v>
      </c>
      <c r="L294" s="90">
        <f t="shared" si="23"/>
        <v>14.5</v>
      </c>
      <c r="M294" s="82" t="s">
        <v>294</v>
      </c>
    </row>
    <row r="295" spans="1:26" ht="13.8" thickBot="1" x14ac:dyDescent="0.3">
      <c r="B295" s="79"/>
      <c r="C295" s="80" t="s">
        <v>431</v>
      </c>
      <c r="D295" s="81"/>
      <c r="E295" s="81"/>
      <c r="F295" s="75"/>
      <c r="G295" s="82" t="s">
        <v>293</v>
      </c>
      <c r="H295" s="90">
        <f t="shared" si="22"/>
        <v>14.5</v>
      </c>
      <c r="I295" s="82" t="s">
        <v>294</v>
      </c>
      <c r="J295" s="75"/>
      <c r="K295" s="82" t="s">
        <v>293</v>
      </c>
      <c r="L295" s="90">
        <f t="shared" si="23"/>
        <v>14.5</v>
      </c>
      <c r="M295" s="82" t="s">
        <v>294</v>
      </c>
    </row>
    <row r="296" spans="1:26" s="5" customFormat="1" x14ac:dyDescent="0.25">
      <c r="A296" s="305"/>
      <c r="B296" s="209"/>
      <c r="C296" s="210" t="s">
        <v>54</v>
      </c>
      <c r="D296" s="211"/>
      <c r="E296" s="211"/>
      <c r="F296" s="212">
        <f>SUM(F280:F288)+SUM(F290:F295)</f>
        <v>87</v>
      </c>
      <c r="G296" s="209" t="s">
        <v>293</v>
      </c>
      <c r="H296" s="213">
        <f>F296*H168+F289*H289</f>
        <v>1261.5</v>
      </c>
      <c r="I296" s="209" t="s">
        <v>57</v>
      </c>
      <c r="J296" s="212">
        <f>SUM(J280:J288)+SUM(J290:J295)</f>
        <v>10</v>
      </c>
      <c r="K296" s="209" t="s">
        <v>293</v>
      </c>
      <c r="L296" s="213">
        <f>J296*L168+J289*L289</f>
        <v>145</v>
      </c>
      <c r="M296" s="209" t="s">
        <v>57</v>
      </c>
      <c r="N296"/>
      <c r="O296"/>
      <c r="P296"/>
      <c r="Q296"/>
      <c r="R296"/>
      <c r="S296"/>
      <c r="T296"/>
      <c r="U296"/>
      <c r="Y296"/>
      <c r="Z296"/>
    </row>
    <row r="297" spans="1:26" s="5" customFormat="1" ht="70.95" customHeight="1" thickBot="1" x14ac:dyDescent="0.3">
      <c r="A297" s="305"/>
      <c r="B297" s="436"/>
      <c r="C297" s="440"/>
      <c r="D297" s="441"/>
      <c r="E297" s="441"/>
      <c r="F297" s="442"/>
      <c r="G297" s="436"/>
      <c r="H297" s="443"/>
      <c r="I297" s="436"/>
      <c r="J297" s="442"/>
      <c r="K297" s="436"/>
      <c r="L297" s="443"/>
      <c r="M297" s="436"/>
    </row>
    <row r="298" spans="1:26" ht="21" customHeight="1" thickBot="1" x14ac:dyDescent="0.45">
      <c r="B298" s="1078" t="s">
        <v>240</v>
      </c>
      <c r="C298" s="1079"/>
      <c r="D298" s="1079"/>
      <c r="E298" s="1080"/>
      <c r="F298" s="116"/>
      <c r="G298" s="116"/>
      <c r="H298" s="116"/>
      <c r="I298" s="116"/>
      <c r="J298" s="460" t="s">
        <v>645</v>
      </c>
      <c r="K298" s="460"/>
      <c r="L298" s="116"/>
      <c r="M298" s="116"/>
      <c r="N298" s="462"/>
      <c r="O298" s="5"/>
      <c r="P298" s="5"/>
      <c r="Q298" s="5"/>
      <c r="R298" s="5"/>
      <c r="S298" s="5"/>
      <c r="T298" s="5"/>
      <c r="U298" s="5"/>
      <c r="Y298" s="5"/>
      <c r="Z298" s="5"/>
    </row>
    <row r="299" spans="1:26" x14ac:dyDescent="0.25">
      <c r="B299" s="116"/>
      <c r="C299" s="116"/>
      <c r="D299" s="116"/>
      <c r="E299" s="116"/>
      <c r="F299" s="116"/>
      <c r="G299" s="116"/>
      <c r="H299" s="116"/>
      <c r="I299" s="116"/>
      <c r="J299" s="116"/>
      <c r="K299" s="116"/>
      <c r="L299" s="116"/>
      <c r="M299" s="116"/>
    </row>
    <row r="300" spans="1:26" ht="15.6" x14ac:dyDescent="0.3">
      <c r="B300" s="96" t="s">
        <v>749</v>
      </c>
      <c r="C300" s="97"/>
      <c r="D300" s="97"/>
      <c r="E300" s="97"/>
      <c r="F300" s="1074" t="s">
        <v>114</v>
      </c>
      <c r="G300" s="1074"/>
      <c r="H300" s="1074" t="s">
        <v>113</v>
      </c>
      <c r="I300" s="1074"/>
      <c r="J300" s="1074" t="s">
        <v>243</v>
      </c>
      <c r="K300" s="1074"/>
      <c r="L300" s="99"/>
      <c r="M300" s="99"/>
    </row>
    <row r="301" spans="1:26" ht="13.8" thickBot="1" x14ac:dyDescent="0.3">
      <c r="B301" s="97"/>
      <c r="C301" s="97"/>
      <c r="D301" s="97"/>
      <c r="E301" s="97"/>
      <c r="F301" s="97"/>
      <c r="G301" s="97"/>
      <c r="H301" s="98"/>
      <c r="I301" s="98"/>
      <c r="J301" s="99"/>
      <c r="K301" s="99"/>
      <c r="L301" s="99"/>
      <c r="M301" s="99"/>
    </row>
    <row r="302" spans="1:26" ht="13.8" thickBot="1" x14ac:dyDescent="0.3">
      <c r="B302" s="97"/>
      <c r="C302" s="97" t="s">
        <v>683</v>
      </c>
      <c r="D302" s="99"/>
      <c r="E302" s="97"/>
      <c r="F302" s="94">
        <v>170</v>
      </c>
      <c r="G302" s="97" t="s">
        <v>212</v>
      </c>
      <c r="H302" s="77">
        <v>1.53</v>
      </c>
      <c r="I302" s="98" t="s">
        <v>206</v>
      </c>
      <c r="J302" s="100">
        <f>F302*H302</f>
        <v>260.10000000000002</v>
      </c>
      <c r="K302" s="97" t="s">
        <v>57</v>
      </c>
      <c r="L302" s="99"/>
      <c r="M302" s="99"/>
    </row>
    <row r="303" spans="1:26" ht="13.8" thickBot="1" x14ac:dyDescent="0.3">
      <c r="B303" s="97"/>
      <c r="C303" s="97" t="s">
        <v>251</v>
      </c>
      <c r="D303" s="99"/>
      <c r="E303" s="97"/>
      <c r="F303" s="94"/>
      <c r="G303" s="97" t="s">
        <v>212</v>
      </c>
      <c r="H303" s="77"/>
      <c r="I303" s="98" t="s">
        <v>206</v>
      </c>
      <c r="J303" s="100">
        <f t="shared" ref="J303:J305" si="26">F303*H303</f>
        <v>0</v>
      </c>
      <c r="K303" s="97" t="s">
        <v>57</v>
      </c>
      <c r="L303" s="99"/>
      <c r="M303" s="99"/>
    </row>
    <row r="304" spans="1:26" ht="13.8" thickBot="1" x14ac:dyDescent="0.3">
      <c r="B304" s="97"/>
      <c r="C304" s="97" t="s">
        <v>251</v>
      </c>
      <c r="D304" s="99"/>
      <c r="E304" s="97"/>
      <c r="F304" s="74"/>
      <c r="G304" s="97" t="s">
        <v>212</v>
      </c>
      <c r="H304" s="77"/>
      <c r="I304" s="98" t="s">
        <v>206</v>
      </c>
      <c r="J304" s="100">
        <f t="shared" si="26"/>
        <v>0</v>
      </c>
      <c r="K304" s="97" t="s">
        <v>57</v>
      </c>
      <c r="L304" s="99"/>
      <c r="M304" s="99"/>
    </row>
    <row r="305" spans="1:26" ht="13.8" thickBot="1" x14ac:dyDescent="0.3">
      <c r="B305" s="97"/>
      <c r="C305" s="97" t="s">
        <v>251</v>
      </c>
      <c r="D305" s="99"/>
      <c r="E305" s="97"/>
      <c r="F305" s="74"/>
      <c r="G305" s="97" t="s">
        <v>212</v>
      </c>
      <c r="H305" s="77"/>
      <c r="I305" s="98" t="s">
        <v>206</v>
      </c>
      <c r="J305" s="100">
        <f t="shared" si="26"/>
        <v>0</v>
      </c>
      <c r="K305" s="97" t="s">
        <v>57</v>
      </c>
      <c r="L305" s="99"/>
      <c r="M305" s="99"/>
    </row>
    <row r="306" spans="1:26" s="5" customFormat="1" x14ac:dyDescent="0.25">
      <c r="A306" s="305"/>
      <c r="B306" s="214"/>
      <c r="C306" s="214" t="s">
        <v>54</v>
      </c>
      <c r="D306" s="214"/>
      <c r="E306" s="214"/>
      <c r="F306" s="214"/>
      <c r="G306" s="214"/>
      <c r="H306" s="214"/>
      <c r="I306" s="215"/>
      <c r="J306" s="216">
        <f>SUM(J302:J305)</f>
        <v>260.10000000000002</v>
      </c>
      <c r="K306" s="214" t="s">
        <v>57</v>
      </c>
      <c r="L306" s="214"/>
      <c r="M306" s="214"/>
      <c r="N306"/>
      <c r="O306"/>
      <c r="P306"/>
      <c r="Q306"/>
      <c r="R306"/>
      <c r="S306"/>
      <c r="T306"/>
      <c r="U306"/>
      <c r="Y306"/>
      <c r="Z306"/>
    </row>
    <row r="307" spans="1:26" x14ac:dyDescent="0.25">
      <c r="B307" s="97"/>
      <c r="C307" s="97"/>
      <c r="D307" s="97"/>
      <c r="E307" s="97"/>
      <c r="F307" s="97"/>
      <c r="G307" s="97"/>
      <c r="H307" s="97"/>
      <c r="I307" s="98"/>
      <c r="J307" s="100"/>
      <c r="K307" s="97"/>
      <c r="L307" s="99"/>
      <c r="M307" s="99"/>
      <c r="N307" s="5"/>
      <c r="O307" s="5"/>
      <c r="P307" s="5"/>
      <c r="Q307" s="5"/>
      <c r="R307" s="5"/>
      <c r="S307" s="5"/>
      <c r="T307" s="5"/>
      <c r="U307" s="5"/>
      <c r="Y307" s="5"/>
      <c r="Z307" s="5"/>
    </row>
    <row r="308" spans="1:26" ht="39" customHeight="1" x14ac:dyDescent="0.25"/>
    <row r="309" spans="1:26" ht="15.6" x14ac:dyDescent="0.3">
      <c r="B309" s="85" t="s">
        <v>708</v>
      </c>
      <c r="C309" s="51"/>
      <c r="D309" s="51"/>
      <c r="E309" s="51"/>
      <c r="F309" s="1075" t="s">
        <v>114</v>
      </c>
      <c r="G309" s="1075"/>
      <c r="H309" s="1076" t="s">
        <v>113</v>
      </c>
      <c r="I309" s="1076"/>
      <c r="J309" s="1075" t="s">
        <v>243</v>
      </c>
      <c r="K309" s="1075"/>
      <c r="L309" s="58"/>
      <c r="M309" s="58"/>
    </row>
    <row r="310" spans="1:26" ht="15.6" x14ac:dyDescent="0.3">
      <c r="B310" s="85"/>
      <c r="C310" s="51"/>
      <c r="D310" s="387" t="s">
        <v>253</v>
      </c>
      <c r="E310" s="51"/>
      <c r="F310" s="59"/>
      <c r="G310" s="59"/>
      <c r="H310" s="60"/>
      <c r="I310" s="60"/>
      <c r="J310" s="59"/>
      <c r="K310" s="59"/>
      <c r="L310" s="58"/>
      <c r="M310" s="58"/>
    </row>
    <row r="311" spans="1:26" ht="13.8" thickBot="1" x14ac:dyDescent="0.3">
      <c r="B311" s="171" t="s">
        <v>254</v>
      </c>
      <c r="C311" s="51"/>
      <c r="D311" s="51"/>
      <c r="E311" s="51"/>
      <c r="F311" s="53"/>
      <c r="G311" s="53"/>
      <c r="H311" s="52"/>
      <c r="I311" s="52"/>
      <c r="J311" s="58"/>
      <c r="K311" s="58"/>
      <c r="L311" s="58"/>
      <c r="M311" s="58"/>
    </row>
    <row r="312" spans="1:26" ht="13.8" thickBot="1" x14ac:dyDescent="0.3">
      <c r="B312" s="171"/>
      <c r="C312" s="51" t="s">
        <v>615</v>
      </c>
      <c r="D312" s="51"/>
      <c r="E312" s="51"/>
      <c r="F312" s="95">
        <v>1</v>
      </c>
      <c r="G312" s="53" t="s">
        <v>212</v>
      </c>
      <c r="H312" s="77">
        <v>140</v>
      </c>
      <c r="I312" s="52" t="s">
        <v>206</v>
      </c>
      <c r="J312" s="58">
        <f t="shared" ref="J312:J313" si="27">F312*H312</f>
        <v>140</v>
      </c>
      <c r="K312" s="51" t="s">
        <v>57</v>
      </c>
      <c r="L312" s="58"/>
      <c r="M312" s="58"/>
    </row>
    <row r="313" spans="1:26" ht="13.8" thickBot="1" x14ac:dyDescent="0.3">
      <c r="B313" s="171"/>
      <c r="C313" s="51" t="s">
        <v>750</v>
      </c>
      <c r="D313" s="51"/>
      <c r="E313" s="51"/>
      <c r="F313" s="95">
        <v>0.2</v>
      </c>
      <c r="G313" s="53" t="s">
        <v>212</v>
      </c>
      <c r="H313" s="77">
        <v>300</v>
      </c>
      <c r="I313" s="52" t="s">
        <v>206</v>
      </c>
      <c r="J313" s="58">
        <f t="shared" si="27"/>
        <v>60</v>
      </c>
      <c r="K313" s="51" t="s">
        <v>57</v>
      </c>
      <c r="L313" s="58"/>
      <c r="M313" s="58"/>
    </row>
    <row r="314" spans="1:26" ht="13.8" thickBot="1" x14ac:dyDescent="0.3">
      <c r="B314" s="171"/>
      <c r="C314" s="51" t="s">
        <v>542</v>
      </c>
      <c r="D314" s="51"/>
      <c r="E314" s="51"/>
      <c r="F314" s="95">
        <v>0.9</v>
      </c>
      <c r="G314" s="53" t="s">
        <v>256</v>
      </c>
      <c r="H314" s="77">
        <v>47</v>
      </c>
      <c r="I314" s="52" t="s">
        <v>257</v>
      </c>
      <c r="J314" s="58">
        <f t="shared" ref="J314:J315" si="28">F314*H314</f>
        <v>42.300000000000004</v>
      </c>
      <c r="K314" s="51" t="s">
        <v>57</v>
      </c>
      <c r="L314" s="58"/>
      <c r="M314" s="58"/>
    </row>
    <row r="315" spans="1:26" ht="13.8" thickBot="1" x14ac:dyDescent="0.3">
      <c r="B315" s="171"/>
      <c r="C315" s="51" t="s">
        <v>810</v>
      </c>
      <c r="D315" s="51"/>
      <c r="E315" s="51"/>
      <c r="F315" s="95">
        <v>0.1</v>
      </c>
      <c r="G315" s="53" t="s">
        <v>256</v>
      </c>
      <c r="H315" s="77">
        <v>1070</v>
      </c>
      <c r="I315" s="52" t="s">
        <v>257</v>
      </c>
      <c r="J315" s="58">
        <f t="shared" si="28"/>
        <v>107</v>
      </c>
      <c r="K315" s="51" t="s">
        <v>57</v>
      </c>
      <c r="L315" s="58"/>
      <c r="M315" s="58"/>
    </row>
    <row r="316" spans="1:26" ht="13.8" thickBot="1" x14ac:dyDescent="0.3">
      <c r="B316" s="51"/>
      <c r="C316" s="51" t="s">
        <v>265</v>
      </c>
      <c r="D316" s="58"/>
      <c r="E316" s="51"/>
      <c r="F316" s="95"/>
      <c r="G316" s="53" t="s">
        <v>256</v>
      </c>
      <c r="H316" s="77"/>
      <c r="I316" s="52" t="s">
        <v>257</v>
      </c>
      <c r="J316" s="58">
        <f>F316*H316</f>
        <v>0</v>
      </c>
      <c r="K316" s="51" t="s">
        <v>57</v>
      </c>
      <c r="L316" s="58"/>
      <c r="M316" s="58"/>
    </row>
    <row r="317" spans="1:26" ht="13.8" thickBot="1" x14ac:dyDescent="0.3">
      <c r="B317" s="51"/>
      <c r="C317" s="51" t="s">
        <v>265</v>
      </c>
      <c r="D317" s="51"/>
      <c r="E317" s="51"/>
      <c r="F317" s="95"/>
      <c r="G317" s="53" t="s">
        <v>256</v>
      </c>
      <c r="H317" s="77"/>
      <c r="I317" s="52" t="s">
        <v>257</v>
      </c>
      <c r="J317" s="58">
        <f t="shared" ref="J317:J323" si="29">F317*H317</f>
        <v>0</v>
      </c>
      <c r="K317" s="51" t="s">
        <v>57</v>
      </c>
      <c r="L317" s="58"/>
      <c r="M317" s="58"/>
    </row>
    <row r="318" spans="1:26" ht="13.8" thickBot="1" x14ac:dyDescent="0.3">
      <c r="B318" s="51"/>
      <c r="C318" s="51" t="s">
        <v>265</v>
      </c>
      <c r="D318" s="51"/>
      <c r="E318" s="51"/>
      <c r="F318" s="95"/>
      <c r="G318" s="53" t="s">
        <v>256</v>
      </c>
      <c r="H318" s="77"/>
      <c r="I318" s="52" t="s">
        <v>257</v>
      </c>
      <c r="J318" s="58">
        <f t="shared" si="29"/>
        <v>0</v>
      </c>
      <c r="K318" s="51" t="s">
        <v>57</v>
      </c>
      <c r="L318" s="58"/>
      <c r="M318" s="58"/>
    </row>
    <row r="319" spans="1:26" x14ac:dyDescent="0.25">
      <c r="B319" s="51"/>
      <c r="C319" s="51"/>
      <c r="D319" s="51"/>
      <c r="E319" s="51"/>
      <c r="F319" s="53"/>
      <c r="G319" s="53"/>
      <c r="H319" s="52"/>
      <c r="I319" s="52"/>
      <c r="J319" s="58"/>
      <c r="K319" s="51"/>
      <c r="L319" s="58"/>
      <c r="M319" s="58"/>
    </row>
    <row r="320" spans="1:26" ht="13.8" thickBot="1" x14ac:dyDescent="0.3">
      <c r="B320" s="171" t="s">
        <v>266</v>
      </c>
      <c r="C320" s="51"/>
      <c r="D320" s="51"/>
      <c r="E320" s="51"/>
      <c r="F320" s="53"/>
      <c r="G320" s="53"/>
      <c r="H320" s="52"/>
      <c r="I320" s="52"/>
      <c r="J320" s="58"/>
      <c r="K320" s="51"/>
      <c r="L320" s="58"/>
      <c r="M320" s="58"/>
    </row>
    <row r="321" spans="1:26" ht="13.8" thickBot="1" x14ac:dyDescent="0.3">
      <c r="B321" s="51"/>
      <c r="C321" s="51" t="s">
        <v>267</v>
      </c>
      <c r="D321" s="51"/>
      <c r="E321" s="51"/>
      <c r="F321" s="95"/>
      <c r="G321" s="53"/>
      <c r="H321" s="95"/>
      <c r="I321" s="52"/>
      <c r="J321" s="58">
        <f t="shared" si="29"/>
        <v>0</v>
      </c>
      <c r="K321" s="51" t="s">
        <v>57</v>
      </c>
      <c r="L321" s="58"/>
      <c r="M321" s="58"/>
    </row>
    <row r="322" spans="1:26" ht="13.8" thickBot="1" x14ac:dyDescent="0.3">
      <c r="B322" s="51"/>
      <c r="C322" s="51" t="s">
        <v>267</v>
      </c>
      <c r="D322" s="51"/>
      <c r="E322" s="51"/>
      <c r="F322" s="95"/>
      <c r="G322" s="53"/>
      <c r="H322" s="95"/>
      <c r="I322" s="52"/>
      <c r="J322" s="58">
        <f t="shared" si="29"/>
        <v>0</v>
      </c>
      <c r="K322" s="51" t="s">
        <v>57</v>
      </c>
      <c r="L322" s="58"/>
      <c r="M322" s="58"/>
    </row>
    <row r="323" spans="1:26" ht="13.8" thickBot="1" x14ac:dyDescent="0.3">
      <c r="B323" s="51"/>
      <c r="C323" s="51" t="s">
        <v>267</v>
      </c>
      <c r="D323" s="51"/>
      <c r="E323" s="51"/>
      <c r="F323" s="95"/>
      <c r="G323" s="53"/>
      <c r="H323" s="95"/>
      <c r="I323" s="52"/>
      <c r="J323" s="58">
        <f t="shared" si="29"/>
        <v>0</v>
      </c>
      <c r="K323" s="51" t="s">
        <v>57</v>
      </c>
      <c r="L323" s="58"/>
      <c r="M323" s="58"/>
    </row>
    <row r="324" spans="1:26" s="5" customFormat="1" x14ac:dyDescent="0.25">
      <c r="A324" s="305"/>
      <c r="B324" s="195"/>
      <c r="C324" s="195" t="s">
        <v>54</v>
      </c>
      <c r="D324" s="195"/>
      <c r="E324" s="195"/>
      <c r="F324" s="196"/>
      <c r="G324" s="196"/>
      <c r="H324" s="196"/>
      <c r="I324" s="197"/>
      <c r="J324" s="195">
        <f>SUM(J312:J323)</f>
        <v>349.3</v>
      </c>
      <c r="K324" s="195" t="s">
        <v>57</v>
      </c>
      <c r="L324" s="195"/>
      <c r="M324" s="195"/>
      <c r="N324"/>
      <c r="O324"/>
      <c r="P324"/>
      <c r="Q324"/>
      <c r="R324"/>
      <c r="S324"/>
      <c r="T324"/>
      <c r="U324"/>
      <c r="Y324"/>
      <c r="Z324"/>
    </row>
    <row r="325" spans="1:26" x14ac:dyDescent="0.25">
      <c r="B325" s="51"/>
      <c r="C325" s="51"/>
      <c r="D325" s="51"/>
      <c r="E325" s="51"/>
      <c r="F325" s="53"/>
      <c r="G325" s="53"/>
      <c r="H325" s="52"/>
      <c r="I325" s="52"/>
      <c r="J325" s="58"/>
      <c r="K325" s="51"/>
      <c r="L325" s="58"/>
      <c r="M325" s="58"/>
      <c r="N325" s="5"/>
      <c r="O325" s="5"/>
      <c r="P325" s="5"/>
      <c r="Q325" s="5"/>
      <c r="R325" s="5"/>
      <c r="S325" s="5"/>
      <c r="T325" s="5"/>
      <c r="U325" s="5"/>
      <c r="Y325" s="5"/>
      <c r="Z325" s="5"/>
    </row>
    <row r="326" spans="1:26" ht="36" customHeight="1" x14ac:dyDescent="0.25">
      <c r="B326" s="435"/>
      <c r="C326" s="435"/>
      <c r="D326" s="435"/>
      <c r="E326" s="435"/>
      <c r="F326" s="439"/>
      <c r="G326" s="439"/>
      <c r="H326" s="437"/>
      <c r="I326" s="437"/>
      <c r="J326" s="116"/>
      <c r="K326" s="435"/>
      <c r="L326" s="116"/>
      <c r="M326" s="116"/>
    </row>
    <row r="327" spans="1:26" ht="30" customHeight="1" x14ac:dyDescent="0.3">
      <c r="B327" s="535" t="s">
        <v>620</v>
      </c>
      <c r="C327" s="536"/>
      <c r="D327" s="527"/>
      <c r="E327" s="527"/>
      <c r="F327" s="1125" t="s">
        <v>114</v>
      </c>
      <c r="G327" s="1125"/>
      <c r="H327" s="1125" t="s">
        <v>113</v>
      </c>
      <c r="I327" s="1125"/>
      <c r="J327" s="1125" t="s">
        <v>243</v>
      </c>
      <c r="K327" s="1125"/>
      <c r="L327" s="101"/>
      <c r="M327" s="101"/>
    </row>
    <row r="328" spans="1:26" ht="13.8" thickBot="1" x14ac:dyDescent="0.3">
      <c r="B328" s="536"/>
      <c r="C328" s="536"/>
      <c r="D328" s="527"/>
      <c r="E328" s="527"/>
      <c r="F328" s="527"/>
      <c r="G328" s="527"/>
      <c r="H328" s="528"/>
      <c r="I328" s="528"/>
      <c r="J328" s="101"/>
      <c r="K328" s="101"/>
      <c r="L328" s="101"/>
      <c r="M328" s="101"/>
    </row>
    <row r="329" spans="1:26" ht="13.8" thickBot="1" x14ac:dyDescent="0.3">
      <c r="B329" s="536"/>
      <c r="C329" s="536" t="s">
        <v>621</v>
      </c>
      <c r="D329" s="101"/>
      <c r="E329" s="527"/>
      <c r="F329" s="529">
        <v>5</v>
      </c>
      <c r="G329" s="527" t="s">
        <v>622</v>
      </c>
      <c r="H329" s="530">
        <v>160</v>
      </c>
      <c r="I329" s="528" t="s">
        <v>623</v>
      </c>
      <c r="J329" s="531">
        <f t="shared" ref="J329:J331" si="30">F329*H329</f>
        <v>800</v>
      </c>
      <c r="K329" s="527" t="s">
        <v>57</v>
      </c>
      <c r="L329" s="101"/>
      <c r="M329" s="101"/>
    </row>
    <row r="330" spans="1:26" ht="13.8" thickBot="1" x14ac:dyDescent="0.3">
      <c r="B330" s="536"/>
      <c r="C330" s="536" t="s">
        <v>274</v>
      </c>
      <c r="D330" s="527"/>
      <c r="E330" s="527"/>
      <c r="F330" s="529"/>
      <c r="G330" s="527" t="s">
        <v>7</v>
      </c>
      <c r="H330" s="530"/>
      <c r="I330" s="528" t="s">
        <v>57</v>
      </c>
      <c r="J330" s="531">
        <f t="shared" si="30"/>
        <v>0</v>
      </c>
      <c r="K330" s="527" t="s">
        <v>57</v>
      </c>
      <c r="L330" s="101"/>
      <c r="M330" s="101"/>
    </row>
    <row r="331" spans="1:26" ht="13.8" thickBot="1" x14ac:dyDescent="0.3">
      <c r="B331" s="536"/>
      <c r="C331" s="536" t="s">
        <v>274</v>
      </c>
      <c r="D331" s="527"/>
      <c r="E331" s="527"/>
      <c r="F331" s="529"/>
      <c r="G331" s="527" t="s">
        <v>7</v>
      </c>
      <c r="H331" s="530"/>
      <c r="I331" s="528" t="s">
        <v>57</v>
      </c>
      <c r="J331" s="531">
        <f t="shared" si="30"/>
        <v>0</v>
      </c>
      <c r="K331" s="527" t="s">
        <v>57</v>
      </c>
      <c r="L331" s="101"/>
      <c r="M331" s="101"/>
    </row>
    <row r="332" spans="1:26" x14ac:dyDescent="0.25">
      <c r="B332" s="543"/>
      <c r="C332" s="543" t="s">
        <v>54</v>
      </c>
      <c r="D332" s="305"/>
      <c r="E332" s="305"/>
      <c r="F332" s="305"/>
      <c r="G332" s="305"/>
      <c r="H332" s="532"/>
      <c r="I332" s="532"/>
      <c r="J332" s="533">
        <f>SUM(J329:J331)</f>
        <v>800</v>
      </c>
      <c r="K332" s="305" t="s">
        <v>57</v>
      </c>
      <c r="L332" s="305"/>
      <c r="M332" s="305"/>
    </row>
    <row r="333" spans="1:26" x14ac:dyDescent="0.25">
      <c r="B333" s="527"/>
      <c r="C333" s="527"/>
      <c r="D333" s="527"/>
      <c r="E333" s="527"/>
      <c r="F333" s="527"/>
      <c r="G333" s="527"/>
      <c r="H333" s="528"/>
      <c r="I333" s="528"/>
      <c r="J333" s="531"/>
      <c r="K333" s="527"/>
      <c r="L333" s="101"/>
      <c r="M333" s="101"/>
    </row>
    <row r="334" spans="1:26" ht="30" customHeight="1" x14ac:dyDescent="0.25">
      <c r="B334" s="435"/>
      <c r="C334" s="435"/>
      <c r="D334" s="435"/>
      <c r="E334" s="435"/>
      <c r="F334" s="439"/>
      <c r="G334" s="439"/>
      <c r="H334" s="437"/>
      <c r="I334" s="437"/>
      <c r="J334" s="116"/>
      <c r="K334" s="435"/>
      <c r="L334" s="116"/>
      <c r="M334" s="116"/>
    </row>
    <row r="335" spans="1:26" ht="40.950000000000003" customHeight="1" x14ac:dyDescent="0.3">
      <c r="A335" s="310"/>
      <c r="B335" s="86" t="s">
        <v>811</v>
      </c>
      <c r="C335" s="61"/>
      <c r="D335" s="61"/>
      <c r="E335" s="61"/>
      <c r="F335" s="1071" t="s">
        <v>114</v>
      </c>
      <c r="G335" s="1071"/>
      <c r="H335" s="1071" t="s">
        <v>113</v>
      </c>
      <c r="I335" s="1071"/>
      <c r="J335" s="1071" t="s">
        <v>243</v>
      </c>
      <c r="K335" s="1071"/>
      <c r="L335" s="63"/>
      <c r="M335" s="63"/>
    </row>
    <row r="336" spans="1:26" ht="13.8" thickBot="1" x14ac:dyDescent="0.3">
      <c r="A336" s="310"/>
      <c r="B336" s="61"/>
      <c r="C336" s="61"/>
      <c r="D336" s="61"/>
      <c r="E336" s="61"/>
      <c r="F336" s="61"/>
      <c r="G336" s="61"/>
      <c r="H336" s="62"/>
      <c r="I336" s="62"/>
      <c r="J336" s="63"/>
      <c r="K336" s="63"/>
      <c r="L336" s="63"/>
      <c r="M336" s="63"/>
    </row>
    <row r="337" spans="1:26" ht="13.8" thickBot="1" x14ac:dyDescent="0.3">
      <c r="A337" s="310"/>
      <c r="B337" s="61"/>
      <c r="C337" s="61" t="s">
        <v>803</v>
      </c>
      <c r="D337" s="61"/>
      <c r="E337" s="61"/>
      <c r="F337" s="388">
        <f>IF(S10&gt;0,S10*'Gårdens info'!$G$34/1,0)</f>
        <v>6833.333333333333</v>
      </c>
      <c r="G337" s="61" t="s">
        <v>116</v>
      </c>
      <c r="H337" s="77"/>
      <c r="I337" s="62" t="s">
        <v>74</v>
      </c>
      <c r="J337" s="64">
        <f>F337*H337</f>
        <v>0</v>
      </c>
      <c r="K337" s="61" t="s">
        <v>57</v>
      </c>
      <c r="L337" s="63"/>
      <c r="M337" s="63"/>
    </row>
    <row r="338" spans="1:26" ht="13.8" thickBot="1" x14ac:dyDescent="0.3">
      <c r="A338" s="310"/>
      <c r="B338" s="61"/>
      <c r="C338" s="61" t="s">
        <v>626</v>
      </c>
      <c r="D338" s="63"/>
      <c r="E338" s="61"/>
      <c r="F338" s="388">
        <f>IF(S11&gt;0,S11*'Gårdens info'!$G$34/5,0)</f>
        <v>0</v>
      </c>
      <c r="G338" s="61" t="s">
        <v>116</v>
      </c>
      <c r="H338" s="77">
        <v>0.1</v>
      </c>
      <c r="I338" s="62" t="s">
        <v>74</v>
      </c>
      <c r="J338" s="64">
        <f>F338*H338</f>
        <v>0</v>
      </c>
      <c r="K338" s="61" t="s">
        <v>57</v>
      </c>
      <c r="L338" s="63"/>
      <c r="M338" s="63"/>
    </row>
    <row r="339" spans="1:26" ht="13.8" thickBot="1" x14ac:dyDescent="0.3">
      <c r="A339" s="310"/>
      <c r="B339" s="61"/>
      <c r="C339" s="61" t="s">
        <v>804</v>
      </c>
      <c r="D339" s="63"/>
      <c r="E339" s="61"/>
      <c r="F339" s="388">
        <f>IF(S12&gt;0,S12*'Gårdens info'!$G$34/3,0)</f>
        <v>0</v>
      </c>
      <c r="G339" s="61" t="s">
        <v>116</v>
      </c>
      <c r="H339" s="77">
        <v>0.1</v>
      </c>
      <c r="I339" s="62" t="s">
        <v>74</v>
      </c>
      <c r="J339" s="64">
        <f t="shared" ref="J339:J344" si="31">F339*H339</f>
        <v>0</v>
      </c>
      <c r="K339" s="61" t="s">
        <v>57</v>
      </c>
      <c r="L339" s="63"/>
      <c r="M339" s="63"/>
    </row>
    <row r="340" spans="1:26" ht="13.8" thickBot="1" x14ac:dyDescent="0.3">
      <c r="A340" s="310"/>
      <c r="B340" s="61"/>
      <c r="C340" s="61" t="s">
        <v>805</v>
      </c>
      <c r="D340" s="63"/>
      <c r="E340" s="61"/>
      <c r="F340" s="388">
        <f>IF(S13&gt;0,S13*'Gårdens info'!$G$34/10,0)</f>
        <v>0</v>
      </c>
      <c r="G340" s="61" t="s">
        <v>116</v>
      </c>
      <c r="H340" s="77">
        <v>0.1</v>
      </c>
      <c r="I340" s="62" t="s">
        <v>74</v>
      </c>
      <c r="J340" s="64">
        <f t="shared" si="31"/>
        <v>0</v>
      </c>
      <c r="K340" s="61" t="s">
        <v>57</v>
      </c>
      <c r="L340" s="63"/>
      <c r="M340" s="63"/>
    </row>
    <row r="341" spans="1:26" ht="13.8" thickBot="1" x14ac:dyDescent="0.3">
      <c r="A341" s="310"/>
      <c r="B341" s="61"/>
      <c r="C341" s="61" t="s">
        <v>270</v>
      </c>
      <c r="D341" s="63"/>
      <c r="E341" s="61"/>
      <c r="F341" s="388">
        <f>IF(S14&gt;0,S14*'Gårdens info'!$G$34/0.5,0)</f>
        <v>13666.666666666666</v>
      </c>
      <c r="G341" s="61" t="s">
        <v>116</v>
      </c>
      <c r="H341" s="77">
        <v>0.04</v>
      </c>
      <c r="I341" s="62" t="s">
        <v>74</v>
      </c>
      <c r="J341" s="64">
        <f t="shared" si="31"/>
        <v>546.66666666666663</v>
      </c>
      <c r="K341" s="61" t="s">
        <v>57</v>
      </c>
      <c r="L341" s="63"/>
      <c r="M341" s="63"/>
    </row>
    <row r="342" spans="1:26" ht="13.8" thickBot="1" x14ac:dyDescent="0.3">
      <c r="A342" s="310"/>
      <c r="B342" s="61"/>
      <c r="C342" s="74" t="s">
        <v>272</v>
      </c>
      <c r="D342" s="74"/>
      <c r="E342" s="61" t="s">
        <v>212</v>
      </c>
      <c r="F342" s="388">
        <f>IF(S15&gt;0,S15*'Gårdens info'!$G$34/D342,0)</f>
        <v>0</v>
      </c>
      <c r="G342" s="61" t="s">
        <v>116</v>
      </c>
      <c r="H342" s="77"/>
      <c r="I342" s="62" t="s">
        <v>74</v>
      </c>
      <c r="J342" s="64">
        <f t="shared" si="31"/>
        <v>0</v>
      </c>
      <c r="K342" s="61" t="s">
        <v>57</v>
      </c>
      <c r="L342" s="63"/>
      <c r="M342" s="63"/>
    </row>
    <row r="343" spans="1:26" ht="13.8" thickBot="1" x14ac:dyDescent="0.3">
      <c r="A343" s="310"/>
      <c r="B343" s="61"/>
      <c r="C343" s="74" t="s">
        <v>272</v>
      </c>
      <c r="D343" s="74"/>
      <c r="E343" s="61" t="s">
        <v>212</v>
      </c>
      <c r="F343" s="388">
        <f>IF(S16&gt;0,S16*'Gårdens info'!$G$34/D343,0)</f>
        <v>0</v>
      </c>
      <c r="G343" s="61" t="s">
        <v>116</v>
      </c>
      <c r="H343" s="77"/>
      <c r="I343" s="62" t="s">
        <v>74</v>
      </c>
      <c r="J343" s="64">
        <f t="shared" ref="J343" si="32">F343*H343</f>
        <v>0</v>
      </c>
      <c r="K343" s="61" t="s">
        <v>57</v>
      </c>
      <c r="L343" s="63"/>
      <c r="M343" s="63"/>
    </row>
    <row r="344" spans="1:26" ht="13.8" thickBot="1" x14ac:dyDescent="0.3">
      <c r="B344" s="61"/>
      <c r="C344" s="74" t="s">
        <v>272</v>
      </c>
      <c r="D344" s="74"/>
      <c r="E344" s="61" t="s">
        <v>212</v>
      </c>
      <c r="F344" s="388">
        <f>IF(S17&gt;0,S17*'Gårdens info'!$G$34/D344,0)</f>
        <v>0</v>
      </c>
      <c r="G344" s="61" t="s">
        <v>116</v>
      </c>
      <c r="H344" s="77"/>
      <c r="I344" s="62" t="s">
        <v>74</v>
      </c>
      <c r="J344" s="64">
        <f t="shared" si="31"/>
        <v>0</v>
      </c>
      <c r="K344" s="61" t="s">
        <v>57</v>
      </c>
      <c r="L344" s="63"/>
      <c r="M344" s="63"/>
    </row>
    <row r="345" spans="1:26" x14ac:dyDescent="0.25">
      <c r="B345" s="198"/>
      <c r="C345" s="198" t="s">
        <v>635</v>
      </c>
      <c r="D345" s="198"/>
      <c r="E345" s="198"/>
      <c r="F345" s="198"/>
      <c r="G345" s="198"/>
      <c r="H345" s="199"/>
      <c r="I345" s="199"/>
      <c r="J345" s="200">
        <f>SUM(J338:J344)</f>
        <v>546.66666666666663</v>
      </c>
      <c r="K345" s="198" t="s">
        <v>57</v>
      </c>
      <c r="L345" s="198"/>
      <c r="M345" s="198"/>
    </row>
    <row r="346" spans="1:26" s="5" customFormat="1" x14ac:dyDescent="0.25">
      <c r="A346" s="305"/>
      <c r="B346" s="61"/>
      <c r="C346" s="61"/>
      <c r="D346" s="61"/>
      <c r="E346" s="61"/>
      <c r="F346" s="61"/>
      <c r="G346" s="61"/>
      <c r="H346" s="62"/>
      <c r="I346" s="62"/>
      <c r="J346" s="64"/>
      <c r="K346" s="61"/>
      <c r="L346" s="63"/>
      <c r="M346" s="63"/>
      <c r="N346"/>
      <c r="O346"/>
      <c r="P346"/>
      <c r="Q346"/>
      <c r="R346"/>
      <c r="S346"/>
      <c r="T346"/>
      <c r="U346"/>
      <c r="Y346"/>
      <c r="Z346"/>
    </row>
    <row r="347" spans="1:26" x14ac:dyDescent="0.25">
      <c r="B347" s="116"/>
      <c r="C347" s="116"/>
      <c r="D347" s="116"/>
      <c r="E347" s="116"/>
      <c r="F347" s="116"/>
      <c r="G347" s="116"/>
      <c r="H347" s="116"/>
      <c r="I347" s="116"/>
      <c r="J347" s="116"/>
      <c r="K347" s="116"/>
      <c r="L347" s="116"/>
      <c r="M347" s="116"/>
      <c r="N347" s="5"/>
      <c r="O347" s="5"/>
      <c r="P347" s="5"/>
      <c r="Q347" s="5"/>
      <c r="R347" s="5"/>
      <c r="S347" s="5"/>
      <c r="T347" s="5"/>
      <c r="U347" s="5"/>
      <c r="Y347" s="5"/>
      <c r="Z347" s="5"/>
    </row>
    <row r="348" spans="1:26" ht="30" customHeight="1" x14ac:dyDescent="0.3">
      <c r="B348" s="87" t="s">
        <v>752</v>
      </c>
      <c r="C348" s="65"/>
      <c r="D348" s="65"/>
      <c r="E348" s="65"/>
      <c r="F348" s="1072" t="s">
        <v>114</v>
      </c>
      <c r="G348" s="1072"/>
      <c r="H348" s="1072" t="s">
        <v>113</v>
      </c>
      <c r="I348" s="1072"/>
      <c r="J348" s="1072" t="s">
        <v>243</v>
      </c>
      <c r="K348" s="1072"/>
      <c r="L348" s="67"/>
      <c r="M348" s="67"/>
    </row>
    <row r="349" spans="1:26" ht="13.8" thickBot="1" x14ac:dyDescent="0.3">
      <c r="B349" s="65"/>
      <c r="C349" s="65"/>
      <c r="D349" s="65"/>
      <c r="E349" s="65"/>
      <c r="F349" s="65"/>
      <c r="G349" s="65"/>
      <c r="H349" s="66"/>
      <c r="I349" s="66"/>
      <c r="J349" s="67"/>
      <c r="K349" s="67"/>
      <c r="L349" s="67"/>
      <c r="M349" s="67"/>
    </row>
    <row r="350" spans="1:26" ht="13.8" thickBot="1" x14ac:dyDescent="0.3">
      <c r="B350" s="65"/>
      <c r="C350" s="65" t="s">
        <v>753</v>
      </c>
      <c r="D350" s="67"/>
      <c r="E350" s="65"/>
      <c r="F350" s="74">
        <f>'Gårdens info'!G34*'Gårdens info'!D34</f>
        <v>68333.333333333328</v>
      </c>
      <c r="G350" s="65" t="s">
        <v>212</v>
      </c>
      <c r="H350" s="77">
        <v>0.05</v>
      </c>
      <c r="I350" s="66" t="s">
        <v>206</v>
      </c>
      <c r="J350" s="68">
        <f t="shared" ref="J350:J352" si="33">F350*H350</f>
        <v>3416.6666666666665</v>
      </c>
      <c r="K350" s="65" t="s">
        <v>57</v>
      </c>
      <c r="L350" s="67"/>
      <c r="M350" s="67"/>
    </row>
    <row r="351" spans="1:26" ht="13.8" thickBot="1" x14ac:dyDescent="0.3">
      <c r="B351" s="65"/>
      <c r="C351" s="65" t="s">
        <v>274</v>
      </c>
      <c r="D351" s="65"/>
      <c r="E351" s="65"/>
      <c r="F351" s="74"/>
      <c r="G351" s="65" t="s">
        <v>212</v>
      </c>
      <c r="H351" s="77"/>
      <c r="I351" s="66" t="s">
        <v>206</v>
      </c>
      <c r="J351" s="68">
        <f t="shared" si="33"/>
        <v>0</v>
      </c>
      <c r="K351" s="65" t="s">
        <v>57</v>
      </c>
      <c r="L351" s="67"/>
      <c r="M351" s="67"/>
    </row>
    <row r="352" spans="1:26" ht="13.8" thickBot="1" x14ac:dyDescent="0.3">
      <c r="B352" s="65"/>
      <c r="C352" s="65" t="s">
        <v>274</v>
      </c>
      <c r="D352" s="65"/>
      <c r="E352" s="65"/>
      <c r="F352" s="74"/>
      <c r="G352" s="65" t="s">
        <v>212</v>
      </c>
      <c r="H352" s="77"/>
      <c r="I352" s="66" t="s">
        <v>206</v>
      </c>
      <c r="J352" s="68">
        <f t="shared" si="33"/>
        <v>0</v>
      </c>
      <c r="K352" s="65" t="s">
        <v>57</v>
      </c>
      <c r="L352" s="67"/>
      <c r="M352" s="67"/>
    </row>
    <row r="353" spans="1:26" x14ac:dyDescent="0.25">
      <c r="B353" s="201"/>
      <c r="C353" s="201" t="s">
        <v>54</v>
      </c>
      <c r="D353" s="201"/>
      <c r="E353" s="201"/>
      <c r="F353" s="201"/>
      <c r="G353" s="201"/>
      <c r="H353" s="202"/>
      <c r="I353" s="202"/>
      <c r="J353" s="203">
        <f>SUM(J350:J352)</f>
        <v>3416.6666666666665</v>
      </c>
      <c r="K353" s="201" t="s">
        <v>57</v>
      </c>
      <c r="L353" s="201"/>
      <c r="M353" s="201"/>
    </row>
    <row r="354" spans="1:26" s="5" customFormat="1" x14ac:dyDescent="0.25">
      <c r="A354" s="305"/>
      <c r="B354" s="65"/>
      <c r="C354" s="65"/>
      <c r="D354" s="65"/>
      <c r="E354" s="65"/>
      <c r="F354" s="65"/>
      <c r="G354" s="65"/>
      <c r="H354" s="66"/>
      <c r="I354" s="66"/>
      <c r="J354" s="68"/>
      <c r="K354" s="65"/>
      <c r="L354" s="67"/>
      <c r="M354" s="67"/>
      <c r="N354"/>
      <c r="O354"/>
      <c r="P354"/>
      <c r="Q354"/>
      <c r="R354"/>
      <c r="S354"/>
      <c r="T354"/>
      <c r="U354"/>
      <c r="Y354"/>
      <c r="Z354"/>
    </row>
    <row r="355" spans="1:26" x14ac:dyDescent="0.25">
      <c r="B355" s="116"/>
      <c r="C355" s="116"/>
      <c r="D355" s="116"/>
      <c r="E355" s="116"/>
      <c r="F355" s="116"/>
      <c r="G355" s="116"/>
      <c r="H355" s="116"/>
      <c r="I355" s="116"/>
      <c r="J355" s="116"/>
      <c r="K355" s="116"/>
      <c r="L355" s="116"/>
      <c r="M355" s="116"/>
      <c r="N355" s="5"/>
      <c r="O355" s="5"/>
      <c r="P355" s="5"/>
      <c r="Q355" s="5"/>
      <c r="R355" s="5"/>
      <c r="S355" s="5"/>
      <c r="T355" s="5"/>
      <c r="U355" s="5"/>
      <c r="Y355" s="5"/>
      <c r="Z355" s="5"/>
    </row>
    <row r="356" spans="1:26" ht="37.200000000000003" customHeight="1" x14ac:dyDescent="0.3">
      <c r="B356" s="176" t="s">
        <v>712</v>
      </c>
      <c r="C356" s="177"/>
      <c r="D356" s="177"/>
      <c r="E356" s="177"/>
      <c r="F356" s="1067" t="s">
        <v>114</v>
      </c>
      <c r="G356" s="1067"/>
      <c r="H356" s="1067" t="s">
        <v>113</v>
      </c>
      <c r="I356" s="1067"/>
      <c r="J356" s="1067" t="s">
        <v>243</v>
      </c>
      <c r="K356" s="1067"/>
      <c r="L356" s="179"/>
      <c r="M356" s="179"/>
    </row>
    <row r="357" spans="1:26" ht="13.8" thickBot="1" x14ac:dyDescent="0.3">
      <c r="B357" s="177"/>
      <c r="C357" s="177"/>
      <c r="D357" s="177"/>
      <c r="E357" s="177"/>
      <c r="F357" s="177"/>
      <c r="G357" s="177"/>
      <c r="H357" s="178"/>
      <c r="I357" s="178"/>
      <c r="J357" s="179"/>
      <c r="K357" s="179"/>
      <c r="L357" s="179"/>
      <c r="M357" s="179"/>
    </row>
    <row r="358" spans="1:26" ht="13.8" thickBot="1" x14ac:dyDescent="0.3">
      <c r="B358" s="177"/>
      <c r="C358" s="177" t="s">
        <v>276</v>
      </c>
      <c r="D358" s="179"/>
      <c r="E358" s="177"/>
      <c r="F358" s="74"/>
      <c r="G358" s="177" t="s">
        <v>7</v>
      </c>
      <c r="H358" s="77"/>
      <c r="I358" s="178" t="s">
        <v>57</v>
      </c>
      <c r="J358" s="180">
        <f t="shared" ref="J358:J360" si="34">F358*H358</f>
        <v>0</v>
      </c>
      <c r="K358" s="177" t="s">
        <v>57</v>
      </c>
      <c r="L358" s="179"/>
      <c r="M358" s="179"/>
    </row>
    <row r="359" spans="1:26" ht="13.8" thickBot="1" x14ac:dyDescent="0.3">
      <c r="B359" s="177"/>
      <c r="C359" s="177" t="s">
        <v>276</v>
      </c>
      <c r="D359" s="177"/>
      <c r="E359" s="177"/>
      <c r="F359" s="74"/>
      <c r="G359" s="177" t="s">
        <v>7</v>
      </c>
      <c r="H359" s="77"/>
      <c r="I359" s="178" t="s">
        <v>57</v>
      </c>
      <c r="J359" s="180">
        <f t="shared" si="34"/>
        <v>0</v>
      </c>
      <c r="K359" s="177" t="s">
        <v>57</v>
      </c>
      <c r="L359" s="179"/>
      <c r="M359" s="179"/>
    </row>
    <row r="360" spans="1:26" ht="13.8" thickBot="1" x14ac:dyDescent="0.3">
      <c r="B360" s="177"/>
      <c r="C360" s="177" t="s">
        <v>276</v>
      </c>
      <c r="D360" s="177"/>
      <c r="E360" s="177"/>
      <c r="F360" s="74"/>
      <c r="G360" s="177" t="s">
        <v>7</v>
      </c>
      <c r="H360" s="77"/>
      <c r="I360" s="178" t="s">
        <v>57</v>
      </c>
      <c r="J360" s="180">
        <f t="shared" si="34"/>
        <v>0</v>
      </c>
      <c r="K360" s="177" t="s">
        <v>57</v>
      </c>
      <c r="L360" s="179"/>
      <c r="M360" s="179"/>
    </row>
    <row r="361" spans="1:26" x14ac:dyDescent="0.25">
      <c r="B361" s="204"/>
      <c r="C361" s="204" t="s">
        <v>54</v>
      </c>
      <c r="D361" s="204"/>
      <c r="E361" s="204"/>
      <c r="F361" s="204"/>
      <c r="G361" s="204"/>
      <c r="H361" s="205"/>
      <c r="I361" s="205"/>
      <c r="J361" s="206">
        <f>SUM(J358:J360)</f>
        <v>0</v>
      </c>
      <c r="K361" s="204" t="s">
        <v>57</v>
      </c>
      <c r="L361" s="204"/>
      <c r="M361" s="204"/>
    </row>
    <row r="362" spans="1:26" s="5" customFormat="1" x14ac:dyDescent="0.25">
      <c r="A362" s="305"/>
      <c r="B362" s="177"/>
      <c r="C362" s="177"/>
      <c r="D362" s="177"/>
      <c r="E362" s="177"/>
      <c r="F362" s="177"/>
      <c r="G362" s="177"/>
      <c r="H362" s="178"/>
      <c r="I362" s="178"/>
      <c r="J362" s="180"/>
      <c r="K362" s="177"/>
      <c r="L362" s="179"/>
      <c r="M362" s="179"/>
      <c r="N362"/>
      <c r="O362"/>
      <c r="P362"/>
      <c r="Q362"/>
      <c r="R362"/>
      <c r="S362"/>
      <c r="T362"/>
      <c r="U362"/>
      <c r="Y362"/>
      <c r="Z362"/>
    </row>
    <row r="363" spans="1:26" x14ac:dyDescent="0.25">
      <c r="B363" s="116"/>
      <c r="C363" s="116"/>
      <c r="D363" s="116"/>
      <c r="E363" s="116"/>
      <c r="F363" s="116"/>
      <c r="G363" s="116"/>
      <c r="H363" s="116"/>
      <c r="I363" s="116"/>
      <c r="J363" s="116"/>
      <c r="K363" s="116"/>
      <c r="L363" s="116"/>
      <c r="M363" s="116"/>
      <c r="N363" s="5"/>
      <c r="O363" s="5"/>
      <c r="P363" s="5"/>
      <c r="Q363" s="5"/>
      <c r="R363" s="5"/>
      <c r="S363" s="5"/>
      <c r="T363" s="5"/>
      <c r="U363" s="5"/>
      <c r="Y363" s="5"/>
      <c r="Z363" s="5"/>
    </row>
    <row r="364" spans="1:26" ht="33" customHeight="1" x14ac:dyDescent="0.3">
      <c r="B364" s="181" t="s">
        <v>713</v>
      </c>
      <c r="C364" s="182"/>
      <c r="D364" s="182"/>
      <c r="E364" s="183"/>
      <c r="F364" s="182" t="s">
        <v>114</v>
      </c>
      <c r="G364" s="184"/>
      <c r="H364" s="184" t="s">
        <v>113</v>
      </c>
      <c r="I364" s="182"/>
      <c r="J364" s="182" t="s">
        <v>243</v>
      </c>
      <c r="K364" s="185"/>
      <c r="L364" s="185"/>
      <c r="M364" s="185"/>
    </row>
    <row r="365" spans="1:26" ht="16.2" thickBot="1" x14ac:dyDescent="0.35">
      <c r="B365" s="181"/>
      <c r="C365" s="182"/>
      <c r="D365" s="182"/>
      <c r="E365" s="183"/>
      <c r="F365" s="182"/>
      <c r="G365" s="184"/>
      <c r="H365" s="184"/>
      <c r="I365" s="182"/>
      <c r="J365" s="182"/>
      <c r="K365" s="185"/>
      <c r="L365" s="185"/>
      <c r="M365" s="185"/>
    </row>
    <row r="366" spans="1:26" ht="13.8" thickBot="1" x14ac:dyDescent="0.3">
      <c r="B366" s="182"/>
      <c r="C366" s="182" t="s">
        <v>278</v>
      </c>
      <c r="D366" s="185"/>
      <c r="E366" s="186"/>
      <c r="F366" s="74">
        <v>1500</v>
      </c>
      <c r="G366" s="187" t="s">
        <v>279</v>
      </c>
      <c r="H366" s="74">
        <v>0.15</v>
      </c>
      <c r="I366" s="188" t="s">
        <v>280</v>
      </c>
      <c r="J366" s="185">
        <f>H366*F366</f>
        <v>225</v>
      </c>
      <c r="K366" s="188" t="s">
        <v>57</v>
      </c>
      <c r="L366" s="185"/>
      <c r="M366" s="185"/>
    </row>
    <row r="367" spans="1:26" ht="13.8" thickBot="1" x14ac:dyDescent="0.3">
      <c r="B367" s="182"/>
      <c r="C367" s="182" t="s">
        <v>685</v>
      </c>
      <c r="D367" s="188">
        <f>F396/2</f>
        <v>81</v>
      </c>
      <c r="E367" s="182" t="s">
        <v>282</v>
      </c>
      <c r="F367" s="74">
        <f>+D367*8</f>
        <v>648</v>
      </c>
      <c r="G367" s="184" t="s">
        <v>256</v>
      </c>
      <c r="H367" s="74">
        <v>0.83</v>
      </c>
      <c r="I367" s="188" t="s">
        <v>257</v>
      </c>
      <c r="J367" s="185">
        <f>H367*F367</f>
        <v>537.83999999999992</v>
      </c>
      <c r="K367" s="188" t="s">
        <v>57</v>
      </c>
      <c r="L367" s="185"/>
      <c r="M367" s="185"/>
    </row>
    <row r="368" spans="1:26" ht="13.8" thickBot="1" x14ac:dyDescent="0.3">
      <c r="B368" s="182"/>
      <c r="C368" s="182" t="s">
        <v>686</v>
      </c>
      <c r="D368" s="188">
        <f>D367</f>
        <v>81</v>
      </c>
      <c r="E368" s="182" t="s">
        <v>282</v>
      </c>
      <c r="F368" s="74">
        <v>11.88</v>
      </c>
      <c r="G368" s="184" t="s">
        <v>212</v>
      </c>
      <c r="H368" s="74">
        <v>4</v>
      </c>
      <c r="I368" s="188" t="s">
        <v>206</v>
      </c>
      <c r="J368" s="185">
        <f t="shared" ref="J368:J372" si="35">H368*F368</f>
        <v>47.52</v>
      </c>
      <c r="K368" s="188" t="s">
        <v>57</v>
      </c>
      <c r="L368" s="185"/>
      <c r="M368" s="185"/>
    </row>
    <row r="369" spans="1:26" ht="13.8" thickBot="1" x14ac:dyDescent="0.3">
      <c r="B369" s="182"/>
      <c r="C369" s="182" t="s">
        <v>284</v>
      </c>
      <c r="D369" s="185"/>
      <c r="E369" s="188"/>
      <c r="F369" s="74">
        <v>200</v>
      </c>
      <c r="G369" s="184" t="s">
        <v>256</v>
      </c>
      <c r="H369" s="74">
        <v>1.53</v>
      </c>
      <c r="I369" s="188" t="s">
        <v>257</v>
      </c>
      <c r="J369" s="185">
        <f t="shared" si="35"/>
        <v>306</v>
      </c>
      <c r="K369" s="188" t="s">
        <v>57</v>
      </c>
      <c r="L369" s="185"/>
      <c r="M369" s="185"/>
    </row>
    <row r="370" spans="1:26" ht="13.8" thickBot="1" x14ac:dyDescent="0.3">
      <c r="B370" s="182"/>
      <c r="C370" s="182" t="s">
        <v>285</v>
      </c>
      <c r="D370" s="185"/>
      <c r="E370" s="188"/>
      <c r="F370" s="74">
        <v>1.48</v>
      </c>
      <c r="G370" s="184" t="s">
        <v>256</v>
      </c>
      <c r="H370" s="74">
        <v>1.6</v>
      </c>
      <c r="I370" s="188" t="s">
        <v>257</v>
      </c>
      <c r="J370" s="185">
        <f t="shared" si="35"/>
        <v>2.3679999999999999</v>
      </c>
      <c r="K370" s="188" t="s">
        <v>57</v>
      </c>
      <c r="L370" s="185"/>
      <c r="M370" s="185"/>
    </row>
    <row r="371" spans="1:26" ht="13.8" thickBot="1" x14ac:dyDescent="0.3">
      <c r="B371" s="182"/>
      <c r="C371" s="182" t="s">
        <v>286</v>
      </c>
      <c r="D371" s="185"/>
      <c r="E371" s="188"/>
      <c r="F371" s="74"/>
      <c r="G371" s="184"/>
      <c r="H371" s="74"/>
      <c r="I371" s="188"/>
      <c r="J371" s="185">
        <f t="shared" si="35"/>
        <v>0</v>
      </c>
      <c r="K371" s="188" t="s">
        <v>57</v>
      </c>
      <c r="L371" s="185"/>
      <c r="M371" s="185"/>
    </row>
    <row r="372" spans="1:26" ht="13.8" thickBot="1" x14ac:dyDescent="0.3">
      <c r="B372" s="185"/>
      <c r="C372" s="182" t="s">
        <v>286</v>
      </c>
      <c r="D372" s="185"/>
      <c r="E372" s="185"/>
      <c r="F372" s="74"/>
      <c r="G372" s="185"/>
      <c r="H372" s="74"/>
      <c r="I372" s="185"/>
      <c r="J372" s="185">
        <f t="shared" si="35"/>
        <v>0</v>
      </c>
      <c r="K372" s="188" t="s">
        <v>57</v>
      </c>
      <c r="L372" s="185"/>
      <c r="M372" s="185"/>
    </row>
    <row r="373" spans="1:26" x14ac:dyDescent="0.25">
      <c r="B373" s="207"/>
      <c r="C373" s="207" t="s">
        <v>54</v>
      </c>
      <c r="D373" s="207"/>
      <c r="E373" s="207"/>
      <c r="F373" s="207"/>
      <c r="G373" s="207"/>
      <c r="H373" s="207"/>
      <c r="I373" s="207"/>
      <c r="J373" s="207">
        <f>SUM(J366:J372)</f>
        <v>1118.7279999999998</v>
      </c>
      <c r="K373" s="208" t="s">
        <v>57</v>
      </c>
      <c r="L373" s="207"/>
      <c r="M373" s="207"/>
    </row>
    <row r="374" spans="1:26" s="5" customFormat="1" x14ac:dyDescent="0.25">
      <c r="A374" s="305"/>
      <c r="B374" s="185"/>
      <c r="C374" s="185"/>
      <c r="D374" s="185"/>
      <c r="E374" s="185"/>
      <c r="F374" s="185"/>
      <c r="G374" s="185"/>
      <c r="H374" s="185"/>
      <c r="I374" s="185"/>
      <c r="J374" s="185"/>
      <c r="K374" s="185"/>
      <c r="L374" s="185"/>
      <c r="M374" s="185"/>
      <c r="N374"/>
      <c r="O374"/>
      <c r="P374"/>
      <c r="Q374"/>
      <c r="R374"/>
      <c r="S374"/>
      <c r="T374"/>
      <c r="U374"/>
      <c r="Y374"/>
      <c r="Z374"/>
    </row>
    <row r="375" spans="1:26" x14ac:dyDescent="0.25">
      <c r="B375" s="116"/>
      <c r="C375" s="116"/>
      <c r="D375" s="116"/>
      <c r="E375" s="116"/>
      <c r="F375" s="116"/>
      <c r="G375" s="116"/>
      <c r="H375" s="116"/>
      <c r="I375" s="116"/>
      <c r="J375" s="116"/>
      <c r="K375" s="116"/>
      <c r="L375" s="116"/>
      <c r="M375" s="116"/>
      <c r="N375" s="5"/>
      <c r="O375" s="5"/>
      <c r="P375" s="5"/>
      <c r="Q375" s="5"/>
      <c r="R375" s="5"/>
      <c r="S375" s="5"/>
      <c r="T375" s="5"/>
      <c r="U375" s="5"/>
      <c r="Y375" s="5"/>
      <c r="Z375" s="5"/>
    </row>
    <row r="376" spans="1:26" ht="31.95" customHeight="1" x14ac:dyDescent="0.3">
      <c r="B376" s="88" t="s">
        <v>714</v>
      </c>
      <c r="C376" s="79"/>
      <c r="D376" s="79"/>
      <c r="E376" s="79"/>
      <c r="F376" s="79"/>
      <c r="G376" s="79"/>
      <c r="H376" s="79"/>
      <c r="I376" s="79"/>
      <c r="J376" s="79"/>
      <c r="K376" s="79"/>
      <c r="L376" s="79"/>
      <c r="M376" s="79"/>
    </row>
    <row r="377" spans="1:26" ht="15.6" x14ac:dyDescent="0.3">
      <c r="B377" s="88"/>
      <c r="C377" s="79"/>
      <c r="D377" s="79"/>
      <c r="E377" s="79"/>
      <c r="F377" s="79"/>
      <c r="G377" s="79"/>
      <c r="H377" s="79"/>
      <c r="I377" s="79"/>
      <c r="J377" s="79"/>
      <c r="K377" s="79"/>
      <c r="L377" s="79"/>
      <c r="M377" s="79"/>
    </row>
    <row r="378" spans="1:26" ht="15" customHeight="1" x14ac:dyDescent="0.25">
      <c r="B378" s="1103" t="s">
        <v>699</v>
      </c>
      <c r="C378" s="1103"/>
      <c r="D378" s="1103"/>
      <c r="E378" s="1103"/>
      <c r="F378" s="1103"/>
      <c r="G378" s="1103"/>
      <c r="H378" s="1103"/>
      <c r="I378" s="1103"/>
      <c r="J378" s="1103"/>
      <c r="K378" s="1103"/>
      <c r="L378" s="1103"/>
      <c r="M378" s="1103"/>
    </row>
    <row r="379" spans="1:26" ht="46.95" customHeight="1" x14ac:dyDescent="0.25">
      <c r="B379" s="1103"/>
      <c r="C379" s="1103"/>
      <c r="D379" s="1103"/>
      <c r="E379" s="1103"/>
      <c r="F379" s="1103"/>
      <c r="G379" s="1103"/>
      <c r="H379" s="1103"/>
      <c r="I379" s="1103"/>
      <c r="J379" s="1103"/>
      <c r="K379" s="1103"/>
      <c r="L379" s="1103"/>
      <c r="M379" s="1103"/>
    </row>
    <row r="380" spans="1:26" ht="15.6" x14ac:dyDescent="0.3">
      <c r="B380" s="88"/>
      <c r="C380" s="79"/>
      <c r="D380" s="79"/>
      <c r="E380" s="1069" t="s">
        <v>290</v>
      </c>
      <c r="F380" s="1069"/>
      <c r="G380" s="1069"/>
      <c r="H380" s="1070" t="s">
        <v>113</v>
      </c>
      <c r="I380" s="1070"/>
      <c r="J380" s="1069" t="s">
        <v>291</v>
      </c>
      <c r="K380" s="1069"/>
      <c r="L380" s="1070" t="s">
        <v>113</v>
      </c>
      <c r="M380" s="1070"/>
    </row>
    <row r="381" spans="1:26" ht="15.6" thickBot="1" x14ac:dyDescent="0.3">
      <c r="B381" s="78"/>
      <c r="C381" s="79"/>
      <c r="D381" s="79"/>
      <c r="E381" s="79"/>
      <c r="F381" s="79"/>
      <c r="G381" s="79"/>
      <c r="H381" s="79"/>
      <c r="I381" s="79"/>
      <c r="J381" s="79"/>
      <c r="K381" s="79"/>
      <c r="L381" s="79"/>
      <c r="M381" s="79"/>
    </row>
    <row r="382" spans="1:26" ht="13.8" thickBot="1" x14ac:dyDescent="0.3">
      <c r="B382" s="79"/>
      <c r="C382" s="80" t="s">
        <v>297</v>
      </c>
      <c r="D382" s="79"/>
      <c r="E382" s="79"/>
      <c r="F382" s="91">
        <v>1</v>
      </c>
      <c r="G382" s="82" t="s">
        <v>293</v>
      </c>
      <c r="H382" s="90">
        <f t="shared" ref="H382:H395" si="36">$H$168</f>
        <v>14.5</v>
      </c>
      <c r="I382" s="82" t="s">
        <v>294</v>
      </c>
      <c r="J382" s="92"/>
      <c r="K382" s="82" t="s">
        <v>293</v>
      </c>
      <c r="L382" s="90">
        <f t="shared" ref="L382:L395" si="37">$L$168</f>
        <v>14.5</v>
      </c>
      <c r="M382" s="82" t="s">
        <v>294</v>
      </c>
    </row>
    <row r="383" spans="1:26" ht="13.8" thickBot="1" x14ac:dyDescent="0.3">
      <c r="B383" s="79"/>
      <c r="C383" s="80" t="s">
        <v>692</v>
      </c>
      <c r="D383" s="79"/>
      <c r="E383" s="79"/>
      <c r="F383" s="91">
        <v>80</v>
      </c>
      <c r="G383" s="82" t="s">
        <v>293</v>
      </c>
      <c r="H383" s="90">
        <f t="shared" si="36"/>
        <v>14.5</v>
      </c>
      <c r="I383" s="82" t="s">
        <v>294</v>
      </c>
      <c r="J383" s="92"/>
      <c r="K383" s="82" t="s">
        <v>293</v>
      </c>
      <c r="L383" s="90">
        <f t="shared" si="37"/>
        <v>14.5</v>
      </c>
      <c r="M383" s="82" t="s">
        <v>294</v>
      </c>
    </row>
    <row r="384" spans="1:26" ht="13.8" thickBot="1" x14ac:dyDescent="0.3">
      <c r="B384" s="79"/>
      <c r="C384" s="80" t="s">
        <v>812</v>
      </c>
      <c r="D384" s="79"/>
      <c r="E384" s="79"/>
      <c r="F384" s="91">
        <v>6</v>
      </c>
      <c r="G384" s="82" t="s">
        <v>293</v>
      </c>
      <c r="H384" s="90">
        <f t="shared" si="36"/>
        <v>14.5</v>
      </c>
      <c r="I384" s="82" t="s">
        <v>294</v>
      </c>
      <c r="J384" s="92"/>
      <c r="K384" s="82" t="s">
        <v>293</v>
      </c>
      <c r="L384" s="90">
        <f t="shared" si="37"/>
        <v>14.5</v>
      </c>
      <c r="M384" s="82" t="s">
        <v>294</v>
      </c>
    </row>
    <row r="385" spans="1:26" ht="13.8" thickBot="1" x14ac:dyDescent="0.3">
      <c r="B385" s="79"/>
      <c r="C385" s="80" t="s">
        <v>569</v>
      </c>
      <c r="D385" s="79"/>
      <c r="E385" s="79"/>
      <c r="F385" s="91">
        <v>20</v>
      </c>
      <c r="G385" s="82" t="s">
        <v>293</v>
      </c>
      <c r="H385" s="90">
        <f t="shared" si="36"/>
        <v>14.5</v>
      </c>
      <c r="I385" s="82" t="s">
        <v>294</v>
      </c>
      <c r="J385" s="92">
        <v>20</v>
      </c>
      <c r="K385" s="82" t="s">
        <v>293</v>
      </c>
      <c r="L385" s="90">
        <f t="shared" si="37"/>
        <v>14.5</v>
      </c>
      <c r="M385" s="82" t="s">
        <v>294</v>
      </c>
    </row>
    <row r="386" spans="1:26" ht="13.8" thickBot="1" x14ac:dyDescent="0.3">
      <c r="B386" s="79"/>
      <c r="C386" s="80" t="s">
        <v>303</v>
      </c>
      <c r="D386" s="79"/>
      <c r="E386" s="79"/>
      <c r="F386" s="91">
        <v>7</v>
      </c>
      <c r="G386" s="82" t="s">
        <v>293</v>
      </c>
      <c r="H386" s="90">
        <f t="shared" si="36"/>
        <v>14.5</v>
      </c>
      <c r="I386" s="82" t="s">
        <v>294</v>
      </c>
      <c r="J386" s="92"/>
      <c r="K386" s="82" t="s">
        <v>293</v>
      </c>
      <c r="L386" s="90">
        <f t="shared" si="37"/>
        <v>14.5</v>
      </c>
      <c r="M386" s="82" t="s">
        <v>294</v>
      </c>
    </row>
    <row r="387" spans="1:26" ht="13.8" thickBot="1" x14ac:dyDescent="0.3">
      <c r="B387" s="79"/>
      <c r="C387" s="80" t="s">
        <v>38</v>
      </c>
      <c r="D387" s="79"/>
      <c r="E387" s="79"/>
      <c r="F387" s="91"/>
      <c r="G387" s="82" t="s">
        <v>212</v>
      </c>
      <c r="H387" s="91"/>
      <c r="I387" s="82" t="s">
        <v>206</v>
      </c>
      <c r="J387" s="91">
        <f>'Gårdens info'!G34*'Gårdens info'!D34</f>
        <v>68333.333333333328</v>
      </c>
      <c r="K387" s="82" t="s">
        <v>212</v>
      </c>
      <c r="L387" s="91">
        <v>0.5</v>
      </c>
      <c r="M387" s="82" t="s">
        <v>206</v>
      </c>
    </row>
    <row r="388" spans="1:26" ht="13.8" thickBot="1" x14ac:dyDescent="0.3">
      <c r="B388" s="79"/>
      <c r="C388" s="80" t="s">
        <v>38</v>
      </c>
      <c r="D388" s="79"/>
      <c r="E388" s="79"/>
      <c r="F388" s="91"/>
      <c r="G388" s="82" t="s">
        <v>293</v>
      </c>
      <c r="H388" s="90">
        <f t="shared" si="36"/>
        <v>14.5</v>
      </c>
      <c r="I388" s="82" t="s">
        <v>294</v>
      </c>
      <c r="J388" s="92"/>
      <c r="K388" s="82" t="s">
        <v>293</v>
      </c>
      <c r="L388" s="90">
        <f t="shared" si="37"/>
        <v>14.5</v>
      </c>
      <c r="M388" s="82" t="s">
        <v>294</v>
      </c>
    </row>
    <row r="389" spans="1:26" ht="13.8" thickBot="1" x14ac:dyDescent="0.3">
      <c r="B389" s="79"/>
      <c r="C389" s="80" t="s">
        <v>689</v>
      </c>
      <c r="D389" s="79"/>
      <c r="E389" s="79"/>
      <c r="F389" s="91">
        <v>20</v>
      </c>
      <c r="G389" s="82" t="s">
        <v>293</v>
      </c>
      <c r="H389" s="90">
        <f t="shared" si="36"/>
        <v>14.5</v>
      </c>
      <c r="I389" s="82" t="s">
        <v>294</v>
      </c>
      <c r="J389" s="92">
        <v>30</v>
      </c>
      <c r="K389" s="82" t="s">
        <v>293</v>
      </c>
      <c r="L389" s="90">
        <f t="shared" si="37"/>
        <v>14.5</v>
      </c>
      <c r="M389" s="82" t="s">
        <v>294</v>
      </c>
    </row>
    <row r="390" spans="1:26" ht="13.8" thickBot="1" x14ac:dyDescent="0.3">
      <c r="B390" s="79"/>
      <c r="C390" s="80" t="s">
        <v>690</v>
      </c>
      <c r="D390" s="79"/>
      <c r="E390" s="79"/>
      <c r="F390" s="91">
        <v>8</v>
      </c>
      <c r="G390" s="82" t="s">
        <v>293</v>
      </c>
      <c r="H390" s="90">
        <f t="shared" si="36"/>
        <v>14.5</v>
      </c>
      <c r="I390" s="82" t="s">
        <v>294</v>
      </c>
      <c r="J390" s="92"/>
      <c r="K390" s="82" t="s">
        <v>293</v>
      </c>
      <c r="L390" s="90">
        <f t="shared" si="37"/>
        <v>14.5</v>
      </c>
      <c r="M390" s="82" t="s">
        <v>294</v>
      </c>
    </row>
    <row r="391" spans="1:26" ht="13.8" thickBot="1" x14ac:dyDescent="0.3">
      <c r="B391" s="79"/>
      <c r="C391" s="80" t="s">
        <v>778</v>
      </c>
      <c r="D391" s="79"/>
      <c r="E391" s="79"/>
      <c r="F391" s="91">
        <v>10</v>
      </c>
      <c r="G391" s="82" t="s">
        <v>293</v>
      </c>
      <c r="H391" s="90">
        <f t="shared" si="36"/>
        <v>14.5</v>
      </c>
      <c r="I391" s="82" t="s">
        <v>294</v>
      </c>
      <c r="J391" s="92"/>
      <c r="K391" s="82" t="s">
        <v>293</v>
      </c>
      <c r="L391" s="90">
        <f t="shared" si="37"/>
        <v>14.5</v>
      </c>
      <c r="M391" s="82" t="s">
        <v>294</v>
      </c>
    </row>
    <row r="392" spans="1:26" ht="13.8" thickBot="1" x14ac:dyDescent="0.3">
      <c r="B392" s="79"/>
      <c r="C392" s="80" t="s">
        <v>503</v>
      </c>
      <c r="D392" s="79"/>
      <c r="E392" s="79"/>
      <c r="F392" s="92">
        <v>10</v>
      </c>
      <c r="G392" s="82" t="s">
        <v>293</v>
      </c>
      <c r="H392" s="90">
        <f t="shared" si="36"/>
        <v>14.5</v>
      </c>
      <c r="I392" s="82" t="s">
        <v>294</v>
      </c>
      <c r="J392" s="92"/>
      <c r="K392" s="82" t="s">
        <v>293</v>
      </c>
      <c r="L392" s="90">
        <f t="shared" si="37"/>
        <v>14.5</v>
      </c>
      <c r="M392" s="82" t="s">
        <v>294</v>
      </c>
    </row>
    <row r="393" spans="1:26" ht="13.8" thickBot="1" x14ac:dyDescent="0.3">
      <c r="B393" s="79"/>
      <c r="C393" s="80" t="s">
        <v>431</v>
      </c>
      <c r="D393" s="79"/>
      <c r="E393" s="79"/>
      <c r="F393" s="92"/>
      <c r="G393" s="82" t="s">
        <v>293</v>
      </c>
      <c r="H393" s="90">
        <f t="shared" si="36"/>
        <v>14.5</v>
      </c>
      <c r="I393" s="82" t="s">
        <v>294</v>
      </c>
      <c r="J393" s="75"/>
      <c r="K393" s="82" t="s">
        <v>293</v>
      </c>
      <c r="L393" s="90">
        <f t="shared" si="37"/>
        <v>14.5</v>
      </c>
      <c r="M393" s="82" t="s">
        <v>294</v>
      </c>
    </row>
    <row r="394" spans="1:26" ht="13.8" thickBot="1" x14ac:dyDescent="0.3">
      <c r="B394" s="79"/>
      <c r="C394" s="80" t="s">
        <v>431</v>
      </c>
      <c r="D394" s="79"/>
      <c r="E394" s="79"/>
      <c r="F394" s="92"/>
      <c r="G394" s="82" t="s">
        <v>293</v>
      </c>
      <c r="H394" s="90">
        <f t="shared" si="36"/>
        <v>14.5</v>
      </c>
      <c r="I394" s="82" t="s">
        <v>294</v>
      </c>
      <c r="J394" s="75"/>
      <c r="K394" s="82" t="s">
        <v>293</v>
      </c>
      <c r="L394" s="90">
        <f t="shared" si="37"/>
        <v>14.5</v>
      </c>
      <c r="M394" s="82" t="s">
        <v>294</v>
      </c>
    </row>
    <row r="395" spans="1:26" ht="13.8" thickBot="1" x14ac:dyDescent="0.3">
      <c r="B395" s="79"/>
      <c r="C395" s="80" t="s">
        <v>431</v>
      </c>
      <c r="D395" s="81"/>
      <c r="E395" s="81"/>
      <c r="F395" s="75"/>
      <c r="G395" s="82" t="s">
        <v>293</v>
      </c>
      <c r="H395" s="90">
        <f t="shared" si="36"/>
        <v>14.5</v>
      </c>
      <c r="I395" s="82" t="s">
        <v>294</v>
      </c>
      <c r="J395" s="75"/>
      <c r="K395" s="82" t="s">
        <v>293</v>
      </c>
      <c r="L395" s="90">
        <f t="shared" si="37"/>
        <v>14.5</v>
      </c>
      <c r="M395" s="82" t="s">
        <v>294</v>
      </c>
    </row>
    <row r="396" spans="1:26" x14ac:dyDescent="0.25">
      <c r="B396" s="209"/>
      <c r="C396" s="210" t="s">
        <v>54</v>
      </c>
      <c r="D396" s="211"/>
      <c r="E396" s="211"/>
      <c r="F396" s="212">
        <f>SUM(F382:F386)+SUM(F388:F395)</f>
        <v>162</v>
      </c>
      <c r="G396" s="209" t="s">
        <v>293</v>
      </c>
      <c r="H396" s="213">
        <f>F396*H168+F387*H387</f>
        <v>2349</v>
      </c>
      <c r="I396" s="209" t="s">
        <v>57</v>
      </c>
      <c r="J396" s="212">
        <f>SUM(J382:J386,J388:J395)</f>
        <v>50</v>
      </c>
      <c r="K396" s="209" t="s">
        <v>293</v>
      </c>
      <c r="L396" s="213">
        <f>J396*L168+J387*L387</f>
        <v>34891.666666666664</v>
      </c>
      <c r="M396" s="209" t="s">
        <v>57</v>
      </c>
    </row>
    <row r="397" spans="1:26" s="5" customFormat="1" ht="13.8" thickBot="1" x14ac:dyDescent="0.3">
      <c r="A397" s="305"/>
      <c r="B397" s="116"/>
      <c r="C397" s="116"/>
      <c r="D397" s="116"/>
      <c r="E397" s="116"/>
      <c r="F397" s="116"/>
      <c r="G397" s="116"/>
      <c r="H397" s="116"/>
      <c r="I397" s="116"/>
      <c r="J397" s="116"/>
      <c r="K397" s="116"/>
      <c r="L397" s="116"/>
      <c r="M397" s="116"/>
      <c r="N397"/>
      <c r="O397"/>
      <c r="P397"/>
      <c r="Q397"/>
      <c r="R397"/>
      <c r="S397"/>
      <c r="T397"/>
      <c r="U397"/>
      <c r="Y397"/>
      <c r="Z397"/>
    </row>
    <row r="398" spans="1:26" ht="58.2" customHeight="1" thickBot="1" x14ac:dyDescent="0.45">
      <c r="B398" s="1078" t="s">
        <v>581</v>
      </c>
      <c r="C398" s="1079"/>
      <c r="D398" s="1079"/>
      <c r="E398" s="1080"/>
      <c r="F398" s="116"/>
      <c r="G398" s="116"/>
      <c r="H398" s="116"/>
      <c r="I398" s="116"/>
      <c r="J398" s="1140" t="s">
        <v>645</v>
      </c>
      <c r="K398" s="1140"/>
      <c r="L398" s="1140"/>
      <c r="M398" s="116"/>
      <c r="N398" s="5"/>
      <c r="O398" s="5"/>
      <c r="P398" s="5"/>
      <c r="Q398" s="5"/>
      <c r="R398" s="5"/>
      <c r="S398" s="5"/>
      <c r="T398" s="5"/>
      <c r="U398" s="5"/>
      <c r="Y398" s="5"/>
      <c r="Z398" s="5"/>
    </row>
    <row r="399" spans="1:26" x14ac:dyDescent="0.25">
      <c r="B399" s="116"/>
      <c r="C399" s="116"/>
      <c r="D399" s="116"/>
      <c r="E399" s="116"/>
      <c r="F399" s="116"/>
      <c r="G399" s="116"/>
      <c r="H399" s="116"/>
      <c r="I399" s="116"/>
      <c r="J399" s="116"/>
      <c r="K399" s="116"/>
      <c r="L399" s="116"/>
      <c r="M399" s="116"/>
    </row>
    <row r="400" spans="1:26" ht="15" customHeight="1" x14ac:dyDescent="0.25">
      <c r="B400" s="1128" t="s">
        <v>636</v>
      </c>
      <c r="C400" s="1128"/>
      <c r="D400" s="1128"/>
      <c r="E400" s="1128"/>
      <c r="F400" s="1128"/>
      <c r="G400" s="1128"/>
      <c r="H400" s="1128"/>
      <c r="I400" s="1128"/>
      <c r="J400" s="1128"/>
      <c r="K400" s="1128"/>
      <c r="L400" s="1128"/>
      <c r="M400" s="1128"/>
    </row>
    <row r="401" spans="1:26" s="69" customFormat="1" ht="49.95" customHeight="1" x14ac:dyDescent="0.25">
      <c r="A401" s="307"/>
      <c r="B401" s="116"/>
      <c r="C401" s="116"/>
      <c r="D401" s="116"/>
      <c r="E401" s="116"/>
      <c r="F401" s="116"/>
      <c r="G401" s="116"/>
      <c r="H401" s="116"/>
      <c r="I401" s="116"/>
      <c r="J401" s="116"/>
      <c r="K401" s="116"/>
      <c r="L401" s="116"/>
      <c r="M401" s="116"/>
      <c r="N401"/>
      <c r="O401"/>
      <c r="P401"/>
      <c r="Q401"/>
      <c r="R401"/>
      <c r="S401"/>
      <c r="T401"/>
      <c r="U401"/>
      <c r="Y401"/>
      <c r="Z401"/>
    </row>
    <row r="402" spans="1:26" ht="31.2" customHeight="1" x14ac:dyDescent="0.3">
      <c r="B402" s="85" t="s">
        <v>694</v>
      </c>
      <c r="C402" s="51"/>
      <c r="D402" s="51"/>
      <c r="E402" s="51"/>
      <c r="F402" s="1075" t="s">
        <v>114</v>
      </c>
      <c r="G402" s="1075"/>
      <c r="H402" s="1076" t="s">
        <v>113</v>
      </c>
      <c r="I402" s="1076"/>
      <c r="J402" s="1075" t="s">
        <v>243</v>
      </c>
      <c r="K402" s="1075"/>
      <c r="L402" s="58"/>
      <c r="M402" s="58"/>
      <c r="N402" s="69"/>
      <c r="O402" s="69"/>
      <c r="P402" s="69"/>
      <c r="Q402" s="69"/>
      <c r="R402" s="69"/>
      <c r="S402" s="69"/>
      <c r="T402" s="69"/>
      <c r="U402" s="69"/>
      <c r="Y402" s="69"/>
      <c r="Z402" s="69"/>
    </row>
    <row r="403" spans="1:26" ht="15.6" x14ac:dyDescent="0.3">
      <c r="B403" s="85"/>
      <c r="C403" s="51"/>
      <c r="D403" s="387" t="s">
        <v>253</v>
      </c>
      <c r="E403" s="51"/>
      <c r="F403" s="59"/>
      <c r="G403" s="59"/>
      <c r="H403" s="60"/>
      <c r="I403" s="60"/>
      <c r="J403" s="59"/>
      <c r="K403" s="59"/>
      <c r="L403" s="58"/>
      <c r="M403" s="58"/>
    </row>
    <row r="404" spans="1:26" ht="13.8" thickBot="1" x14ac:dyDescent="0.3">
      <c r="B404" s="171" t="s">
        <v>254</v>
      </c>
      <c r="C404" s="51"/>
      <c r="D404" s="51"/>
      <c r="E404" s="51"/>
      <c r="F404" s="53"/>
      <c r="G404" s="53"/>
      <c r="H404" s="52"/>
      <c r="I404" s="52"/>
      <c r="J404" s="58"/>
      <c r="K404" s="58"/>
      <c r="L404" s="58"/>
      <c r="M404" s="58"/>
    </row>
    <row r="405" spans="1:26" ht="13.8" thickBot="1" x14ac:dyDescent="0.3">
      <c r="B405" s="51"/>
      <c r="C405" s="51" t="s">
        <v>603</v>
      </c>
      <c r="D405" s="58"/>
      <c r="E405" s="51"/>
      <c r="F405" s="95">
        <v>3.3</v>
      </c>
      <c r="G405" s="53" t="s">
        <v>256</v>
      </c>
      <c r="H405" s="77">
        <v>16.8</v>
      </c>
      <c r="I405" s="52" t="s">
        <v>257</v>
      </c>
      <c r="J405" s="58">
        <f>F405*H405</f>
        <v>55.44</v>
      </c>
      <c r="K405" s="51" t="s">
        <v>57</v>
      </c>
      <c r="L405" s="58"/>
      <c r="M405" s="58"/>
    </row>
    <row r="406" spans="1:26" ht="13.8" thickBot="1" x14ac:dyDescent="0.3">
      <c r="B406" s="51"/>
      <c r="C406" s="51" t="s">
        <v>265</v>
      </c>
      <c r="D406" s="51"/>
      <c r="E406" s="51"/>
      <c r="F406" s="95"/>
      <c r="G406" s="53" t="s">
        <v>256</v>
      </c>
      <c r="H406" s="77"/>
      <c r="I406" s="52" t="s">
        <v>257</v>
      </c>
      <c r="J406" s="58">
        <f t="shared" ref="J406:J407" si="38">F406*H406</f>
        <v>0</v>
      </c>
      <c r="K406" s="51" t="s">
        <v>57</v>
      </c>
      <c r="L406" s="58"/>
      <c r="M406" s="58"/>
    </row>
    <row r="407" spans="1:26" ht="13.8" thickBot="1" x14ac:dyDescent="0.3">
      <c r="B407" s="51"/>
      <c r="C407" s="51" t="s">
        <v>265</v>
      </c>
      <c r="D407" s="51"/>
      <c r="E407" s="51"/>
      <c r="F407" s="95"/>
      <c r="G407" s="53" t="s">
        <v>256</v>
      </c>
      <c r="H407" s="77"/>
      <c r="I407" s="52" t="s">
        <v>257</v>
      </c>
      <c r="J407" s="58">
        <f t="shared" si="38"/>
        <v>0</v>
      </c>
      <c r="K407" s="51" t="s">
        <v>57</v>
      </c>
      <c r="L407" s="58"/>
      <c r="M407" s="58"/>
    </row>
    <row r="408" spans="1:26" x14ac:dyDescent="0.25">
      <c r="B408" s="51"/>
      <c r="C408" s="51"/>
      <c r="D408" s="51"/>
      <c r="E408" s="51"/>
      <c r="F408" s="53"/>
      <c r="G408" s="53"/>
      <c r="H408" s="52"/>
      <c r="I408" s="52"/>
      <c r="J408" s="58"/>
      <c r="K408" s="51"/>
      <c r="L408" s="58"/>
      <c r="M408" s="58"/>
    </row>
    <row r="409" spans="1:26" ht="13.8" thickBot="1" x14ac:dyDescent="0.3">
      <c r="B409" s="171" t="s">
        <v>266</v>
      </c>
      <c r="C409" s="51"/>
      <c r="D409" s="51"/>
      <c r="E409" s="51"/>
      <c r="F409" s="53"/>
      <c r="G409" s="53"/>
      <c r="H409" s="52"/>
      <c r="I409" s="52"/>
      <c r="J409" s="58"/>
      <c r="K409" s="51"/>
      <c r="L409" s="58"/>
      <c r="M409" s="58"/>
    </row>
    <row r="410" spans="1:26" ht="13.8" thickBot="1" x14ac:dyDescent="0.3">
      <c r="B410" s="51"/>
      <c r="C410" s="51" t="s">
        <v>267</v>
      </c>
      <c r="D410" s="51"/>
      <c r="E410" s="51"/>
      <c r="F410" s="95"/>
      <c r="G410" s="53"/>
      <c r="H410" s="95"/>
      <c r="I410" s="52"/>
      <c r="J410" s="58"/>
      <c r="K410" s="51" t="s">
        <v>57</v>
      </c>
      <c r="L410" s="58"/>
      <c r="M410" s="58"/>
    </row>
    <row r="411" spans="1:26" ht="13.8" thickBot="1" x14ac:dyDescent="0.3">
      <c r="B411" s="51"/>
      <c r="C411" s="51" t="s">
        <v>267</v>
      </c>
      <c r="D411" s="51"/>
      <c r="E411" s="51"/>
      <c r="F411" s="95"/>
      <c r="G411" s="53"/>
      <c r="H411" s="95"/>
      <c r="I411" s="52"/>
      <c r="J411" s="58"/>
      <c r="K411" s="51" t="s">
        <v>57</v>
      </c>
      <c r="L411" s="58"/>
      <c r="M411" s="58"/>
    </row>
    <row r="412" spans="1:26" ht="13.8" thickBot="1" x14ac:dyDescent="0.3">
      <c r="B412" s="51"/>
      <c r="C412" s="51" t="s">
        <v>267</v>
      </c>
      <c r="D412" s="51"/>
      <c r="E412" s="51"/>
      <c r="F412" s="95"/>
      <c r="G412" s="53"/>
      <c r="H412" s="95"/>
      <c r="I412" s="52"/>
      <c r="J412" s="58"/>
      <c r="K412" s="51" t="s">
        <v>57</v>
      </c>
      <c r="L412" s="58"/>
      <c r="M412" s="58"/>
    </row>
    <row r="413" spans="1:26" x14ac:dyDescent="0.25">
      <c r="B413" s="195"/>
      <c r="C413" s="195" t="s">
        <v>54</v>
      </c>
      <c r="D413" s="195"/>
      <c r="E413" s="195"/>
      <c r="F413" s="196"/>
      <c r="G413" s="196"/>
      <c r="H413" s="196"/>
      <c r="I413" s="197"/>
      <c r="J413" s="195">
        <f>SUM(J405:J412)</f>
        <v>55.44</v>
      </c>
      <c r="K413" s="195" t="s">
        <v>57</v>
      </c>
      <c r="L413" s="195"/>
      <c r="M413" s="195"/>
    </row>
    <row r="414" spans="1:26" s="5" customFormat="1" x14ac:dyDescent="0.25">
      <c r="A414" s="305"/>
      <c r="B414" s="51"/>
      <c r="C414" s="51"/>
      <c r="D414" s="54"/>
      <c r="E414" s="51"/>
      <c r="F414" s="51"/>
      <c r="G414" s="53"/>
      <c r="H414" s="52"/>
      <c r="I414" s="52"/>
      <c r="J414" s="52"/>
      <c r="K414" s="58"/>
      <c r="L414" s="58"/>
      <c r="M414" s="58"/>
      <c r="N414"/>
      <c r="O414"/>
      <c r="P414"/>
      <c r="Q414"/>
      <c r="R414"/>
      <c r="S414"/>
      <c r="T414"/>
      <c r="U414"/>
      <c r="Y414"/>
      <c r="Z414"/>
    </row>
    <row r="415" spans="1:26" x14ac:dyDescent="0.25">
      <c r="A415" s="310"/>
      <c r="B415" s="435"/>
      <c r="C415" s="435"/>
      <c r="D415" s="445"/>
      <c r="E415" s="435"/>
      <c r="F415" s="435"/>
      <c r="G415" s="439"/>
      <c r="H415" s="437"/>
      <c r="I415" s="437"/>
      <c r="J415" s="437"/>
      <c r="K415" s="116"/>
      <c r="L415" s="116"/>
      <c r="M415" s="116"/>
      <c r="N415" s="5"/>
      <c r="O415" s="5"/>
      <c r="P415" s="5"/>
      <c r="Q415" s="5"/>
      <c r="R415" s="5"/>
      <c r="S415" s="5"/>
      <c r="T415" s="5"/>
      <c r="U415" s="5"/>
      <c r="Y415" s="5"/>
      <c r="Z415" s="5"/>
    </row>
    <row r="416" spans="1:26" ht="28.2" customHeight="1" x14ac:dyDescent="0.3">
      <c r="A416" s="310"/>
      <c r="B416" s="176" t="s">
        <v>813</v>
      </c>
      <c r="C416" s="177"/>
      <c r="D416" s="177"/>
      <c r="E416" s="177"/>
      <c r="F416" s="1067" t="s">
        <v>114</v>
      </c>
      <c r="G416" s="1067"/>
      <c r="H416" s="1067" t="s">
        <v>113</v>
      </c>
      <c r="I416" s="1067"/>
      <c r="J416" s="1067" t="s">
        <v>243</v>
      </c>
      <c r="K416" s="1067"/>
      <c r="L416" s="179"/>
      <c r="M416" s="179"/>
    </row>
    <row r="417" spans="1:26" ht="13.8" thickBot="1" x14ac:dyDescent="0.3">
      <c r="B417" s="177"/>
      <c r="C417" s="177"/>
      <c r="D417" s="177"/>
      <c r="E417" s="177"/>
      <c r="F417" s="177"/>
      <c r="G417" s="177"/>
      <c r="H417" s="178"/>
      <c r="I417" s="178"/>
      <c r="J417" s="179"/>
      <c r="K417" s="179"/>
      <c r="L417" s="179"/>
      <c r="M417" s="179"/>
    </row>
    <row r="418" spans="1:26" ht="13.8" thickBot="1" x14ac:dyDescent="0.3">
      <c r="B418" s="177"/>
      <c r="C418" s="177" t="s">
        <v>696</v>
      </c>
      <c r="D418" s="179"/>
      <c r="E418" s="177"/>
      <c r="F418" s="74">
        <v>2</v>
      </c>
      <c r="G418" s="177" t="s">
        <v>7</v>
      </c>
      <c r="H418" s="77">
        <v>62</v>
      </c>
      <c r="I418" s="178" t="s">
        <v>294</v>
      </c>
      <c r="J418" s="180">
        <f t="shared" ref="J418:J420" si="39">F418*H418</f>
        <v>124</v>
      </c>
      <c r="K418" s="177" t="s">
        <v>57</v>
      </c>
      <c r="L418" s="179"/>
      <c r="M418" s="179"/>
    </row>
    <row r="419" spans="1:26" ht="13.8" thickBot="1" x14ac:dyDescent="0.3">
      <c r="B419" s="177"/>
      <c r="C419" s="177" t="s">
        <v>276</v>
      </c>
      <c r="D419" s="177"/>
      <c r="E419" s="177"/>
      <c r="F419" s="74"/>
      <c r="G419" s="177" t="s">
        <v>7</v>
      </c>
      <c r="H419" s="77"/>
      <c r="I419" s="178" t="s">
        <v>57</v>
      </c>
      <c r="J419" s="180">
        <f t="shared" si="39"/>
        <v>0</v>
      </c>
      <c r="K419" s="177" t="s">
        <v>57</v>
      </c>
      <c r="L419" s="179"/>
      <c r="M419" s="179"/>
    </row>
    <row r="420" spans="1:26" ht="13.8" thickBot="1" x14ac:dyDescent="0.3">
      <c r="B420" s="177"/>
      <c r="C420" s="177" t="s">
        <v>276</v>
      </c>
      <c r="D420" s="177"/>
      <c r="E420" s="177"/>
      <c r="F420" s="74"/>
      <c r="G420" s="177" t="s">
        <v>7</v>
      </c>
      <c r="H420" s="77"/>
      <c r="I420" s="178" t="s">
        <v>57</v>
      </c>
      <c r="J420" s="180">
        <f t="shared" si="39"/>
        <v>0</v>
      </c>
      <c r="K420" s="177" t="s">
        <v>57</v>
      </c>
      <c r="L420" s="179"/>
      <c r="M420" s="179"/>
    </row>
    <row r="421" spans="1:26" x14ac:dyDescent="0.25">
      <c r="B421" s="204"/>
      <c r="C421" s="204" t="s">
        <v>54</v>
      </c>
      <c r="D421" s="204"/>
      <c r="E421" s="204"/>
      <c r="F421" s="204"/>
      <c r="G421" s="204"/>
      <c r="H421" s="205"/>
      <c r="I421" s="205"/>
      <c r="J421" s="206">
        <f>SUM(J418:J420)</f>
        <v>124</v>
      </c>
      <c r="K421" s="204" t="s">
        <v>57</v>
      </c>
      <c r="L421" s="204"/>
      <c r="M421" s="204"/>
    </row>
    <row r="422" spans="1:26" s="5" customFormat="1" x14ac:dyDescent="0.25">
      <c r="A422" s="305"/>
      <c r="B422" s="177"/>
      <c r="C422" s="177"/>
      <c r="D422" s="177"/>
      <c r="E422" s="177"/>
      <c r="F422" s="177"/>
      <c r="G422" s="177"/>
      <c r="H422" s="178"/>
      <c r="I422" s="178"/>
      <c r="J422" s="180"/>
      <c r="K422" s="177"/>
      <c r="L422" s="179"/>
      <c r="M422" s="179"/>
      <c r="N422"/>
      <c r="O422"/>
      <c r="P422"/>
      <c r="Q422"/>
      <c r="R422"/>
      <c r="S422"/>
      <c r="T422"/>
      <c r="U422"/>
      <c r="Y422"/>
      <c r="Z422"/>
    </row>
    <row r="423" spans="1:26" x14ac:dyDescent="0.25">
      <c r="N423" s="5"/>
      <c r="O423" s="5"/>
      <c r="P423" s="5"/>
      <c r="Q423" s="5"/>
      <c r="R423" s="5"/>
      <c r="S423" s="5"/>
      <c r="T423" s="5"/>
      <c r="U423" s="5"/>
      <c r="Y423" s="5"/>
      <c r="Z423" s="5"/>
    </row>
    <row r="424" spans="1:26" ht="33" customHeight="1" x14ac:dyDescent="0.3">
      <c r="B424" s="181" t="s">
        <v>639</v>
      </c>
      <c r="C424" s="182"/>
      <c r="D424" s="182"/>
      <c r="E424" s="183"/>
      <c r="F424" s="182" t="s">
        <v>114</v>
      </c>
      <c r="G424" s="184"/>
      <c r="H424" s="184" t="s">
        <v>113</v>
      </c>
      <c r="I424" s="182"/>
      <c r="J424" s="182" t="s">
        <v>243</v>
      </c>
      <c r="K424" s="185"/>
      <c r="L424" s="185"/>
      <c r="M424" s="185"/>
    </row>
    <row r="425" spans="1:26" ht="16.2" thickBot="1" x14ac:dyDescent="0.35">
      <c r="B425" s="181"/>
      <c r="C425" s="182"/>
      <c r="D425" s="182"/>
      <c r="E425" s="183"/>
      <c r="F425" s="182"/>
      <c r="G425" s="184"/>
      <c r="H425" s="184"/>
      <c r="I425" s="182"/>
      <c r="J425" s="182"/>
      <c r="K425" s="185"/>
      <c r="L425" s="185"/>
      <c r="M425" s="185"/>
    </row>
    <row r="426" spans="1:26" ht="13.8" thickBot="1" x14ac:dyDescent="0.3">
      <c r="B426" s="182"/>
      <c r="C426" s="182" t="s">
        <v>697</v>
      </c>
      <c r="D426" s="185"/>
      <c r="E426" s="186"/>
      <c r="F426" s="74"/>
      <c r="G426" s="187" t="s">
        <v>279</v>
      </c>
      <c r="H426" s="74"/>
      <c r="I426" s="188" t="s">
        <v>280</v>
      </c>
      <c r="J426" s="185">
        <f>H426*F426</f>
        <v>0</v>
      </c>
      <c r="K426" s="188" t="s">
        <v>57</v>
      </c>
      <c r="L426" s="185"/>
      <c r="M426" s="185"/>
    </row>
    <row r="427" spans="1:26" ht="13.8" thickBot="1" x14ac:dyDescent="0.3">
      <c r="B427" s="182"/>
      <c r="C427" s="182" t="s">
        <v>698</v>
      </c>
      <c r="D427" s="188">
        <f>F446/2</f>
        <v>1</v>
      </c>
      <c r="E427" s="182" t="s">
        <v>282</v>
      </c>
      <c r="F427" s="74">
        <f>+D427*8</f>
        <v>8</v>
      </c>
      <c r="G427" s="184" t="s">
        <v>256</v>
      </c>
      <c r="H427" s="74">
        <v>0.83</v>
      </c>
      <c r="I427" s="188" t="s">
        <v>257</v>
      </c>
      <c r="J427" s="185">
        <f>H427*F427</f>
        <v>6.64</v>
      </c>
      <c r="K427" s="188" t="s">
        <v>57</v>
      </c>
      <c r="L427" s="185"/>
      <c r="M427" s="185"/>
    </row>
    <row r="428" spans="1:26" ht="13.8" thickBot="1" x14ac:dyDescent="0.3">
      <c r="B428" s="182"/>
      <c r="C428" s="182" t="s">
        <v>686</v>
      </c>
      <c r="D428" s="188">
        <f>D427</f>
        <v>1</v>
      </c>
      <c r="E428" s="182" t="s">
        <v>282</v>
      </c>
      <c r="F428" s="74">
        <v>11.88</v>
      </c>
      <c r="G428" s="184" t="s">
        <v>212</v>
      </c>
      <c r="H428" s="74">
        <v>4</v>
      </c>
      <c r="I428" s="188" t="s">
        <v>206</v>
      </c>
      <c r="J428" s="185">
        <f t="shared" ref="J428:J432" si="40">H428*F428</f>
        <v>47.52</v>
      </c>
      <c r="K428" s="188" t="s">
        <v>57</v>
      </c>
      <c r="L428" s="185"/>
      <c r="M428" s="185"/>
    </row>
    <row r="429" spans="1:26" ht="13.8" thickBot="1" x14ac:dyDescent="0.3">
      <c r="B429" s="182"/>
      <c r="C429" s="182" t="s">
        <v>284</v>
      </c>
      <c r="D429" s="185"/>
      <c r="E429" s="188"/>
      <c r="F429" s="74"/>
      <c r="G429" s="184" t="s">
        <v>256</v>
      </c>
      <c r="H429" s="74">
        <v>1.53</v>
      </c>
      <c r="I429" s="188" t="s">
        <v>257</v>
      </c>
      <c r="J429" s="185">
        <f t="shared" si="40"/>
        <v>0</v>
      </c>
      <c r="K429" s="188" t="s">
        <v>57</v>
      </c>
      <c r="L429" s="185"/>
      <c r="M429" s="185"/>
    </row>
    <row r="430" spans="1:26" ht="13.8" thickBot="1" x14ac:dyDescent="0.3">
      <c r="B430" s="182"/>
      <c r="C430" s="182" t="s">
        <v>285</v>
      </c>
      <c r="D430" s="185"/>
      <c r="E430" s="188"/>
      <c r="F430" s="74"/>
      <c r="G430" s="184" t="s">
        <v>256</v>
      </c>
      <c r="H430" s="74">
        <v>1.6</v>
      </c>
      <c r="I430" s="188" t="s">
        <v>257</v>
      </c>
      <c r="J430" s="185">
        <f t="shared" si="40"/>
        <v>0</v>
      </c>
      <c r="K430" s="188" t="s">
        <v>57</v>
      </c>
      <c r="L430" s="185"/>
      <c r="M430" s="185"/>
    </row>
    <row r="431" spans="1:26" ht="13.8" thickBot="1" x14ac:dyDescent="0.3">
      <c r="B431" s="182"/>
      <c r="C431" s="182" t="s">
        <v>286</v>
      </c>
      <c r="D431" s="185"/>
      <c r="E431" s="188"/>
      <c r="F431" s="74"/>
      <c r="G431" s="184"/>
      <c r="H431" s="74"/>
      <c r="I431" s="188"/>
      <c r="J431" s="185">
        <f t="shared" si="40"/>
        <v>0</v>
      </c>
      <c r="K431" s="188" t="s">
        <v>57</v>
      </c>
      <c r="L431" s="185"/>
      <c r="M431" s="185"/>
    </row>
    <row r="432" spans="1:26" ht="13.8" thickBot="1" x14ac:dyDescent="0.3">
      <c r="B432" s="185"/>
      <c r="C432" s="182" t="s">
        <v>286</v>
      </c>
      <c r="D432" s="185"/>
      <c r="E432" s="185"/>
      <c r="F432" s="74"/>
      <c r="G432" s="185"/>
      <c r="H432" s="74"/>
      <c r="I432" s="185"/>
      <c r="J432" s="185">
        <f t="shared" si="40"/>
        <v>0</v>
      </c>
      <c r="K432" s="188" t="s">
        <v>57</v>
      </c>
      <c r="L432" s="185"/>
      <c r="M432" s="185"/>
    </row>
    <row r="433" spans="1:26" x14ac:dyDescent="0.25">
      <c r="B433" s="207"/>
      <c r="C433" s="207" t="s">
        <v>54</v>
      </c>
      <c r="D433" s="207"/>
      <c r="E433" s="207"/>
      <c r="F433" s="207"/>
      <c r="G433" s="207"/>
      <c r="H433" s="207"/>
      <c r="I433" s="207"/>
      <c r="J433" s="207">
        <f>SUM(J426:J432)</f>
        <v>54.160000000000004</v>
      </c>
      <c r="K433" s="208" t="s">
        <v>57</v>
      </c>
      <c r="L433" s="207"/>
      <c r="M433" s="207"/>
    </row>
    <row r="434" spans="1:26" s="5" customFormat="1" x14ac:dyDescent="0.25">
      <c r="A434" s="305"/>
      <c r="B434" s="185"/>
      <c r="C434" s="185"/>
      <c r="D434" s="185"/>
      <c r="E434" s="185"/>
      <c r="F434" s="185"/>
      <c r="G434" s="185"/>
      <c r="H434" s="185"/>
      <c r="I434" s="185"/>
      <c r="J434" s="185"/>
      <c r="K434" s="185"/>
      <c r="L434" s="185"/>
      <c r="M434" s="185"/>
      <c r="N434"/>
      <c r="O434"/>
      <c r="P434"/>
      <c r="Q434"/>
      <c r="R434"/>
      <c r="S434"/>
      <c r="T434"/>
      <c r="U434"/>
      <c r="Y434"/>
      <c r="Z434"/>
    </row>
    <row r="435" spans="1:26" x14ac:dyDescent="0.25">
      <c r="N435" s="5"/>
      <c r="O435" s="5"/>
      <c r="P435" s="5"/>
      <c r="Q435" s="5"/>
      <c r="R435" s="5"/>
      <c r="S435" s="5"/>
      <c r="T435" s="5"/>
      <c r="U435" s="5"/>
      <c r="Y435" s="5"/>
      <c r="Z435" s="5"/>
    </row>
    <row r="436" spans="1:26" ht="40.200000000000003" customHeight="1" x14ac:dyDescent="0.3">
      <c r="B436" s="88" t="s">
        <v>640</v>
      </c>
      <c r="C436" s="79"/>
      <c r="D436" s="79"/>
      <c r="E436" s="79"/>
      <c r="F436" s="79"/>
      <c r="G436" s="79"/>
      <c r="H436" s="79"/>
      <c r="I436" s="79"/>
      <c r="J436" s="79"/>
      <c r="K436" s="79"/>
      <c r="L436" s="79"/>
      <c r="M436" s="79"/>
    </row>
    <row r="437" spans="1:26" ht="15.6" x14ac:dyDescent="0.3">
      <c r="B437" s="88"/>
      <c r="C437" s="79"/>
      <c r="D437" s="79"/>
      <c r="E437" s="79"/>
      <c r="F437" s="79"/>
      <c r="G437" s="79"/>
      <c r="H437" s="79"/>
      <c r="I437" s="79"/>
      <c r="J437" s="79"/>
      <c r="K437" s="79"/>
      <c r="L437" s="79"/>
      <c r="M437" s="79"/>
    </row>
    <row r="438" spans="1:26" ht="15" customHeight="1" x14ac:dyDescent="0.25">
      <c r="B438" s="1096" t="s">
        <v>699</v>
      </c>
      <c r="C438" s="1096"/>
      <c r="D438" s="1096"/>
      <c r="E438" s="1096"/>
      <c r="F438" s="1096"/>
      <c r="G438" s="1096"/>
      <c r="H438" s="1096"/>
      <c r="I438" s="1096"/>
      <c r="J438" s="1096"/>
      <c r="K438" s="1096"/>
      <c r="L438" s="1096"/>
      <c r="M438" s="1096"/>
    </row>
    <row r="439" spans="1:26" ht="37.950000000000003" customHeight="1" x14ac:dyDescent="0.3">
      <c r="B439" s="88"/>
      <c r="C439" s="79"/>
      <c r="D439" s="79"/>
      <c r="E439" s="83"/>
      <c r="F439" s="83"/>
      <c r="G439" s="83"/>
      <c r="H439" s="84"/>
      <c r="I439" s="84"/>
      <c r="J439" s="83"/>
      <c r="K439" s="83"/>
      <c r="L439" s="84"/>
      <c r="M439" s="84"/>
    </row>
    <row r="440" spans="1:26" ht="15.6" x14ac:dyDescent="0.3">
      <c r="B440" s="88"/>
      <c r="C440" s="79"/>
      <c r="D440" s="79"/>
      <c r="E440" s="1069" t="s">
        <v>290</v>
      </c>
      <c r="F440" s="1069"/>
      <c r="G440" s="1069"/>
      <c r="H440" s="1070" t="s">
        <v>113</v>
      </c>
      <c r="I440" s="1070"/>
      <c r="J440" s="1069" t="s">
        <v>291</v>
      </c>
      <c r="K440" s="1069"/>
      <c r="L440" s="1070" t="s">
        <v>113</v>
      </c>
      <c r="M440" s="1070"/>
    </row>
    <row r="441" spans="1:26" ht="15.6" thickBot="1" x14ac:dyDescent="0.3">
      <c r="B441" s="78"/>
      <c r="C441" s="79"/>
      <c r="D441" s="79"/>
      <c r="E441" s="79"/>
      <c r="F441" s="79"/>
      <c r="G441" s="79"/>
      <c r="H441" s="79"/>
      <c r="I441" s="79"/>
      <c r="J441" s="79"/>
      <c r="K441" s="79"/>
      <c r="L441" s="79"/>
      <c r="M441" s="79"/>
    </row>
    <row r="442" spans="1:26" ht="13.8" thickBot="1" x14ac:dyDescent="0.3">
      <c r="B442" s="79"/>
      <c r="C442" s="80" t="s">
        <v>303</v>
      </c>
      <c r="D442" s="79"/>
      <c r="E442" s="79"/>
      <c r="F442" s="91">
        <v>2</v>
      </c>
      <c r="G442" s="82" t="s">
        <v>293</v>
      </c>
      <c r="H442" s="90">
        <f t="shared" ref="H442:H445" si="41">$H$168</f>
        <v>14.5</v>
      </c>
      <c r="I442" s="82" t="s">
        <v>294</v>
      </c>
      <c r="J442" s="92"/>
      <c r="K442" s="82" t="s">
        <v>293</v>
      </c>
      <c r="L442" s="90">
        <f t="shared" ref="L442:L445" si="42">$L$168</f>
        <v>14.5</v>
      </c>
      <c r="M442" s="82" t="s">
        <v>294</v>
      </c>
    </row>
    <row r="443" spans="1:26" ht="13.8" thickBot="1" x14ac:dyDescent="0.3">
      <c r="B443" s="79"/>
      <c r="C443" s="80" t="s">
        <v>431</v>
      </c>
      <c r="D443" s="79"/>
      <c r="E443" s="79"/>
      <c r="F443" s="92"/>
      <c r="G443" s="82" t="s">
        <v>293</v>
      </c>
      <c r="H443" s="90">
        <f t="shared" si="41"/>
        <v>14.5</v>
      </c>
      <c r="I443" s="82" t="s">
        <v>294</v>
      </c>
      <c r="J443" s="75"/>
      <c r="K443" s="82" t="s">
        <v>293</v>
      </c>
      <c r="L443" s="90">
        <f t="shared" si="42"/>
        <v>14.5</v>
      </c>
      <c r="M443" s="82" t="s">
        <v>294</v>
      </c>
    </row>
    <row r="444" spans="1:26" ht="13.8" thickBot="1" x14ac:dyDescent="0.3">
      <c r="B444" s="79"/>
      <c r="C444" s="80" t="s">
        <v>431</v>
      </c>
      <c r="D444" s="79"/>
      <c r="E444" s="79"/>
      <c r="F444" s="92"/>
      <c r="G444" s="82" t="s">
        <v>293</v>
      </c>
      <c r="H444" s="90">
        <f t="shared" si="41"/>
        <v>14.5</v>
      </c>
      <c r="I444" s="82" t="s">
        <v>294</v>
      </c>
      <c r="J444" s="75"/>
      <c r="K444" s="82" t="s">
        <v>293</v>
      </c>
      <c r="L444" s="90">
        <f t="shared" si="42"/>
        <v>14.5</v>
      </c>
      <c r="M444" s="82" t="s">
        <v>294</v>
      </c>
    </row>
    <row r="445" spans="1:26" ht="13.8" thickBot="1" x14ac:dyDescent="0.3">
      <c r="B445" s="79"/>
      <c r="C445" s="80" t="s">
        <v>431</v>
      </c>
      <c r="D445" s="81"/>
      <c r="E445" s="81"/>
      <c r="F445" s="75"/>
      <c r="G445" s="82" t="s">
        <v>293</v>
      </c>
      <c r="H445" s="90">
        <f t="shared" si="41"/>
        <v>14.5</v>
      </c>
      <c r="I445" s="82" t="s">
        <v>294</v>
      </c>
      <c r="J445" s="75"/>
      <c r="K445" s="82" t="s">
        <v>293</v>
      </c>
      <c r="L445" s="90">
        <f t="shared" si="42"/>
        <v>14.5</v>
      </c>
      <c r="M445" s="82" t="s">
        <v>294</v>
      </c>
    </row>
    <row r="446" spans="1:26" x14ac:dyDescent="0.25">
      <c r="B446" s="209"/>
      <c r="C446" s="210" t="s">
        <v>54</v>
      </c>
      <c r="D446" s="211"/>
      <c r="E446" s="211"/>
      <c r="F446" s="212">
        <f>SUM(F442:F445)</f>
        <v>2</v>
      </c>
      <c r="G446" s="209" t="s">
        <v>293</v>
      </c>
      <c r="H446" s="213">
        <f>F446*H168</f>
        <v>29</v>
      </c>
      <c r="I446" s="209" t="s">
        <v>57</v>
      </c>
      <c r="J446" s="212">
        <f>SUM(J442:J445)</f>
        <v>0</v>
      </c>
      <c r="K446" s="209" t="s">
        <v>293</v>
      </c>
      <c r="L446" s="213">
        <f>J446*L168</f>
        <v>0</v>
      </c>
      <c r="M446" s="209" t="s">
        <v>57</v>
      </c>
    </row>
    <row r="447" spans="1:26" s="5" customFormat="1" x14ac:dyDescent="0.25">
      <c r="A447" s="305"/>
      <c r="B447"/>
      <c r="C447"/>
      <c r="D447"/>
      <c r="E447"/>
      <c r="F447"/>
      <c r="G447"/>
      <c r="H447"/>
      <c r="I447"/>
      <c r="J447"/>
      <c r="K447"/>
      <c r="L447"/>
      <c r="M447"/>
      <c r="N447"/>
      <c r="O447"/>
      <c r="P447"/>
      <c r="Q447"/>
      <c r="R447"/>
      <c r="S447"/>
      <c r="T447"/>
      <c r="U447"/>
      <c r="Y447"/>
      <c r="Z447"/>
    </row>
    <row r="448" spans="1:26" x14ac:dyDescent="0.25">
      <c r="N448" s="5"/>
      <c r="O448" s="5"/>
      <c r="P448" s="5"/>
      <c r="Q448" s="5"/>
      <c r="R448" s="5"/>
      <c r="S448" s="5"/>
      <c r="T448" s="5"/>
      <c r="U448" s="5"/>
      <c r="Y448" s="5"/>
      <c r="Z448" s="5"/>
    </row>
  </sheetData>
  <mergeCells count="110">
    <mergeCell ref="Q9:S9"/>
    <mergeCell ref="B378:M379"/>
    <mergeCell ref="F335:G335"/>
    <mergeCell ref="H335:I335"/>
    <mergeCell ref="J335:K335"/>
    <mergeCell ref="F416:G416"/>
    <mergeCell ref="H416:I416"/>
    <mergeCell ref="J416:K416"/>
    <mergeCell ref="F348:G348"/>
    <mergeCell ref="H348:I348"/>
    <mergeCell ref="J348:K348"/>
    <mergeCell ref="F356:G356"/>
    <mergeCell ref="H356:I356"/>
    <mergeCell ref="J356:K356"/>
    <mergeCell ref="E380:G380"/>
    <mergeCell ref="H380:I380"/>
    <mergeCell ref="J380:K380"/>
    <mergeCell ref="L380:M380"/>
    <mergeCell ref="B398:E398"/>
    <mergeCell ref="J398:L398"/>
    <mergeCell ref="B298:E298"/>
    <mergeCell ref="F300:G300"/>
    <mergeCell ref="H300:I300"/>
    <mergeCell ref="J300:K300"/>
    <mergeCell ref="F309:G309"/>
    <mergeCell ref="H309:I309"/>
    <mergeCell ref="J309:K309"/>
    <mergeCell ref="F327:G327"/>
    <mergeCell ref="H327:I327"/>
    <mergeCell ref="J327:K327"/>
    <mergeCell ref="T9:U9"/>
    <mergeCell ref="O18:Q18"/>
    <mergeCell ref="B23:D23"/>
    <mergeCell ref="J200:K200"/>
    <mergeCell ref="B187:E187"/>
    <mergeCell ref="J187:L187"/>
    <mergeCell ref="B164:M164"/>
    <mergeCell ref="E166:G166"/>
    <mergeCell ref="H166:I166"/>
    <mergeCell ref="J166:K166"/>
    <mergeCell ref="L166:M166"/>
    <mergeCell ref="F117:G117"/>
    <mergeCell ref="H117:I117"/>
    <mergeCell ref="J117:K117"/>
    <mergeCell ref="B54:E54"/>
    <mergeCell ref="B55:D55"/>
    <mergeCell ref="B58:C58"/>
    <mergeCell ref="C61:D61"/>
    <mergeCell ref="B2:C2"/>
    <mergeCell ref="B4:L4"/>
    <mergeCell ref="B11:D11"/>
    <mergeCell ref="B14:D14"/>
    <mergeCell ref="F254:G254"/>
    <mergeCell ref="H254:I254"/>
    <mergeCell ref="J254:K254"/>
    <mergeCell ref="B53:E53"/>
    <mergeCell ref="B98:D98"/>
    <mergeCell ref="B102:D102"/>
    <mergeCell ref="B104:E104"/>
    <mergeCell ref="J104:L104"/>
    <mergeCell ref="F106:G106"/>
    <mergeCell ref="H106:I106"/>
    <mergeCell ref="J106:K106"/>
    <mergeCell ref="C82:D82"/>
    <mergeCell ref="B84:D84"/>
    <mergeCell ref="B87:D87"/>
    <mergeCell ref="B90:D90"/>
    <mergeCell ref="F189:G189"/>
    <mergeCell ref="H189:I189"/>
    <mergeCell ref="J189:K189"/>
    <mergeCell ref="F200:G200"/>
    <mergeCell ref="H200:I200"/>
    <mergeCell ref="B65:D65"/>
    <mergeCell ref="C68:D68"/>
    <mergeCell ref="B72:D72"/>
    <mergeCell ref="C75:D75"/>
    <mergeCell ref="B79:C79"/>
    <mergeCell ref="E440:G440"/>
    <mergeCell ref="H440:I440"/>
    <mergeCell ref="J440:K440"/>
    <mergeCell ref="L440:M440"/>
    <mergeCell ref="B100:D100"/>
    <mergeCell ref="B400:M400"/>
    <mergeCell ref="F402:G402"/>
    <mergeCell ref="H402:I402"/>
    <mergeCell ref="J402:K402"/>
    <mergeCell ref="B438:M438"/>
    <mergeCell ref="F128:G128"/>
    <mergeCell ref="H128:I128"/>
    <mergeCell ref="J128:K128"/>
    <mergeCell ref="F142:G142"/>
    <mergeCell ref="H142:I142"/>
    <mergeCell ref="J142:K142"/>
    <mergeCell ref="F209:G209"/>
    <mergeCell ref="H209:I209"/>
    <mergeCell ref="J209:K209"/>
    <mergeCell ref="B276:M276"/>
    <mergeCell ref="E278:G278"/>
    <mergeCell ref="H278:I278"/>
    <mergeCell ref="J278:K278"/>
    <mergeCell ref="L278:M278"/>
    <mergeCell ref="F223:G223"/>
    <mergeCell ref="H223:I223"/>
    <mergeCell ref="J223:K223"/>
    <mergeCell ref="F231:G231"/>
    <mergeCell ref="H231:I231"/>
    <mergeCell ref="J231:K231"/>
    <mergeCell ref="F245:G245"/>
    <mergeCell ref="H245:I245"/>
    <mergeCell ref="J245:K245"/>
  </mergeCells>
  <hyperlinks>
    <hyperlink ref="B2" location="Tilakokonaisuus!A1" display="PALAA ETUSIVULLE" xr:uid="{2960DCCB-6DF2-4B4D-A30E-8447734B6028}"/>
    <hyperlink ref="B2:C2" location="'Gårdens info'!A1" display="TILL FRAMSIDAN" xr:uid="{8636E81B-1902-E346-B5CC-83602E264FC7}"/>
    <hyperlink ref="B14" location="'Avomaan mansikka'!B41" display="PERUSTAMISVUODEN KUSTANNUKSET" xr:uid="{4AF44844-2875-EE4E-88B9-AF3007838FF3}"/>
    <hyperlink ref="B35" location="Äpple!B255" display="SKÖRDEÅRENS KOSTNADER" xr:uid="{F9EABA52-E69E-3040-84DD-C4222D086481}"/>
    <hyperlink ref="B46" location="Äpple!B301" display="RÖJNINGSÅRETS KOSTNADER" xr:uid="{7EC59479-C8CA-F241-BBF8-6AB4F1ED147E}"/>
    <hyperlink ref="B14:D14" location="Äpple!B102" display="ETABLERINGSÅRETS KOSTNADER" xr:uid="{AE79FEAF-4887-E44B-BA94-6AD875587546}"/>
    <hyperlink ref="B87" location="'Avomaan mansikka'!B41" display="PERUSTAMISVUODEN KUSTANNUKSET" xr:uid="{810D452E-7056-DF4A-8A89-C872A4BD69EA}"/>
    <hyperlink ref="B87:D87" location="Äpple!H176" display="ETABLERINGSÅRETS KOSTNADER" xr:uid="{135A6A87-3020-CA41-B0EE-3F18629A2D0A}"/>
    <hyperlink ref="B53:E53" location="'Gårdens info'!C97" display="ALLMÄNNA KOSTNADER, äppelns andel" xr:uid="{8EC70883-EE1B-3A4F-8D8E-514A7764B0EA}"/>
    <hyperlink ref="B58:C58" location="Omaisuus!B15" display="RAKENNUKSET" xr:uid="{FA4DB3F9-09F8-D040-817C-404604778B33}"/>
    <hyperlink ref="B65:D65" location="Omaisuus!B28" display="KONEET JA KALUSTO" xr:uid="{65E46AC6-65D6-584A-BB50-AEBDDAEB827B}"/>
    <hyperlink ref="B72:D72" location="Omaisuus!B51" display="PIDEMPIAIKAISET TUOTANTOVÄLINEET" xr:uid="{9A30B55F-6FA7-8642-9825-97A719DC0F61}"/>
    <hyperlink ref="B79:C79" location="Omaisuus!B70" display="SALAOJAT" xr:uid="{C81B0175-8344-1C4F-B544-E36FB99E9D37}"/>
    <hyperlink ref="B23" location="'Avomaan mansikka'!B41" display="PERUSTAMISVUODEN KUSTANNUKSET" xr:uid="{9C692594-BBB6-B34A-8CFD-F694C5A19BF4}"/>
    <hyperlink ref="B23:D23" location="Äpple!B185" display="FÖRODLINGS KOSTNADER" xr:uid="{3C95D280-FAAF-954D-8896-6910E6BCD6FA}"/>
    <hyperlink ref="B90" location="'Avomaan mansikka'!B41" display="PERUSTAMISVUODEN KUSTANNUKSET" xr:uid="{50ED17B7-F9CB-2C48-B5F0-7E7ED981DDA0}"/>
    <hyperlink ref="B90:D90" location="Äpple!H249" display="FÖRODLINGSÅRETS  KOSTNADER" xr:uid="{4511125C-D170-4446-B4F6-6A16EB0159D5}"/>
    <hyperlink ref="B93" location="Äpple!H344" display="SKÖRDEÅRETS KOSTNADER" xr:uid="{78D06868-692E-F343-B7C7-591C528D3533}"/>
    <hyperlink ref="B96" location="Äpple!H384" display="RÖJNINGSÅRETS KOSTNADER" xr:uid="{E7B909FC-FB0C-F14E-9181-3CE19483258D}"/>
    <hyperlink ref="J298" location="Äpple!A1" display="TILL BÖRJAN AV SIDAN" xr:uid="{0004DF17-4665-0740-8057-F53AC82726D4}"/>
    <hyperlink ref="J398:L398" location="Äpple!A1" display="TILL BÖRJAN AV SIDAN" xr:uid="{39C85AAF-6294-6A4F-A830-46108B6B05F8}"/>
    <hyperlink ref="J187:L187" location="Äpple!A1" display="TILL BÖRJAN AV SIDAN" xr:uid="{26B5A126-7B1D-C446-A49E-D8A05CE38E82}"/>
    <hyperlink ref="J104:L104" location="Äpple!A1" display="TILL BÖRJAN AV SIDAN" xr:uid="{A494F915-B8E5-6E41-8C34-224BBCD2A9D9}"/>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6C507-3E5E-1D41-BC12-DF8FCC7CA056}">
  <sheetPr>
    <tabColor theme="2" tint="-9.9978637043366805E-2"/>
  </sheetPr>
  <dimension ref="A1:AF153"/>
  <sheetViews>
    <sheetView topLeftCell="A118" zoomScale="77" zoomScaleNormal="80" workbookViewId="0">
      <selection activeCell="E126" sqref="E126"/>
    </sheetView>
  </sheetViews>
  <sheetFormatPr defaultColWidth="11.44140625" defaultRowHeight="13.2" x14ac:dyDescent="0.25"/>
  <cols>
    <col min="1" max="1" width="5.33203125" style="63"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63" customFormat="1" ht="22.8" x14ac:dyDescent="0.4">
      <c r="B1" s="500" t="s">
        <v>47</v>
      </c>
    </row>
    <row r="2" spans="1:13" ht="27" customHeight="1" x14ac:dyDescent="0.3">
      <c r="B2" s="1094" t="s">
        <v>201</v>
      </c>
      <c r="C2" s="1094"/>
      <c r="F2" s="69"/>
      <c r="G2" s="69"/>
      <c r="H2" s="69"/>
    </row>
    <row r="3" spans="1:13" ht="27" customHeight="1" x14ac:dyDescent="0.3">
      <c r="B3" s="189"/>
      <c r="C3" s="189"/>
    </row>
    <row r="4" spans="1:13" ht="55.2"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814</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info'!G37</f>
        <v>0</v>
      </c>
      <c r="G9" s="119" t="s">
        <v>57</v>
      </c>
      <c r="H9" s="298">
        <v>0.27</v>
      </c>
      <c r="I9" s="119" t="s">
        <v>206</v>
      </c>
      <c r="J9" s="229">
        <f>F9*'Gårdens info'!D37</f>
        <v>0</v>
      </c>
      <c r="K9" s="119" t="s">
        <v>815</v>
      </c>
      <c r="L9" s="119"/>
      <c r="M9" s="226"/>
    </row>
    <row r="10" spans="1:13" ht="15" x14ac:dyDescent="0.25">
      <c r="B10" s="227"/>
      <c r="C10" s="119" t="s">
        <v>211</v>
      </c>
      <c r="D10" s="119"/>
      <c r="E10" s="119"/>
      <c r="F10" s="229">
        <f>IF('Gårdens info'!D9&gt;0,Stöd!L14,0)</f>
        <v>459.1</v>
      </c>
      <c r="G10" s="119" t="s">
        <v>57</v>
      </c>
      <c r="H10" s="298">
        <f>IF('Gårdens info'!G37&gt;0,F10/'Gårdens info'!G37,0)</f>
        <v>0</v>
      </c>
      <c r="I10" s="119" t="s">
        <v>206</v>
      </c>
      <c r="J10" s="229">
        <f>F10*'Gårdens info'!D37</f>
        <v>0</v>
      </c>
      <c r="K10" s="119" t="s">
        <v>815</v>
      </c>
      <c r="L10" s="119"/>
      <c r="M10" s="226"/>
    </row>
    <row r="11" spans="1:13" s="5" customFormat="1" ht="21" customHeight="1" x14ac:dyDescent="0.4">
      <c r="A11" s="198"/>
      <c r="B11" s="1061" t="s">
        <v>214</v>
      </c>
      <c r="C11" s="1043"/>
      <c r="D11" s="1043"/>
      <c r="E11" s="262"/>
      <c r="F11" s="266">
        <f>F9+F10</f>
        <v>459.1</v>
      </c>
      <c r="G11" s="267" t="s">
        <v>57</v>
      </c>
      <c r="H11" s="268">
        <f>H9+H10</f>
        <v>0.27</v>
      </c>
      <c r="I11" s="267" t="s">
        <v>206</v>
      </c>
      <c r="J11" s="269">
        <f>J9+J10</f>
        <v>0</v>
      </c>
      <c r="K11" s="267" t="s">
        <v>815</v>
      </c>
      <c r="L11" s="267"/>
      <c r="M11" s="259"/>
    </row>
    <row r="12" spans="1:13" s="5" customFormat="1" ht="21" x14ac:dyDescent="0.4">
      <c r="A12" s="198"/>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816</v>
      </c>
      <c r="C14" s="225"/>
      <c r="D14" s="116"/>
      <c r="E14" s="116"/>
      <c r="F14" s="116"/>
      <c r="G14" s="116"/>
      <c r="H14" s="116"/>
      <c r="I14" s="116"/>
      <c r="J14" s="232"/>
      <c r="K14" s="116"/>
      <c r="L14" s="116"/>
      <c r="M14" s="226"/>
    </row>
    <row r="15" spans="1:13" s="56" customFormat="1" ht="16.95" customHeight="1" x14ac:dyDescent="0.3">
      <c r="A15" s="63"/>
      <c r="B15" s="493"/>
      <c r="C15" s="245"/>
      <c r="D15" s="249"/>
      <c r="E15" s="249"/>
      <c r="F15" s="250"/>
      <c r="G15" s="120"/>
      <c r="H15" s="249"/>
      <c r="I15" s="249"/>
      <c r="J15" s="249"/>
      <c r="K15" s="249"/>
      <c r="L15" s="249"/>
      <c r="M15" s="234"/>
    </row>
    <row r="16" spans="1:13" s="69" customFormat="1" ht="16.95" customHeight="1" x14ac:dyDescent="0.25">
      <c r="A16" s="63"/>
      <c r="B16" s="493"/>
      <c r="C16" s="228" t="s">
        <v>218</v>
      </c>
      <c r="D16" s="236"/>
      <c r="E16" s="236"/>
      <c r="F16" s="247">
        <f>IF('Gårdens info'!D37&gt;0,J71,0)</f>
        <v>0</v>
      </c>
      <c r="G16" s="119" t="s">
        <v>57</v>
      </c>
      <c r="H16" s="238">
        <f>IF('Gårdens info'!$G$37&gt;0,F16/'Gårdens info'!$G$37,0)</f>
        <v>0</v>
      </c>
      <c r="I16" s="119" t="s">
        <v>206</v>
      </c>
      <c r="J16" s="237">
        <f>F16*'Gårdens info'!$D$37</f>
        <v>0</v>
      </c>
      <c r="K16" s="119" t="s">
        <v>815</v>
      </c>
      <c r="L16" s="236"/>
      <c r="M16" s="239"/>
    </row>
    <row r="17" spans="1:32" s="69" customFormat="1" ht="15" x14ac:dyDescent="0.25">
      <c r="A17" s="496"/>
      <c r="B17" s="235"/>
      <c r="C17" s="228" t="s">
        <v>219</v>
      </c>
      <c r="D17" s="236"/>
      <c r="E17" s="236"/>
      <c r="F17" s="237">
        <f>IF('Gårdens info'!D37&gt;0,J79,0)</f>
        <v>0</v>
      </c>
      <c r="G17" s="119" t="s">
        <v>57</v>
      </c>
      <c r="H17" s="238">
        <f>IF('Gårdens info'!$G$37&gt;0,F17/'Gårdens info'!$G$37,0)</f>
        <v>0</v>
      </c>
      <c r="I17" s="119" t="s">
        <v>206</v>
      </c>
      <c r="J17" s="237">
        <f>F17*'Gårdens info'!$D$37</f>
        <v>0</v>
      </c>
      <c r="K17" s="119" t="s">
        <v>815</v>
      </c>
      <c r="L17" s="236"/>
      <c r="M17" s="239"/>
    </row>
    <row r="18" spans="1:32" s="69" customFormat="1" ht="15" x14ac:dyDescent="0.25">
      <c r="A18" s="496"/>
      <c r="B18" s="235"/>
      <c r="C18" s="228" t="s">
        <v>220</v>
      </c>
      <c r="D18" s="236"/>
      <c r="E18" s="236"/>
      <c r="F18" s="237">
        <f>IF('Gårdens info'!D37&gt;0,J97,0)</f>
        <v>0</v>
      </c>
      <c r="G18" s="119" t="s">
        <v>57</v>
      </c>
      <c r="H18" s="238">
        <f>IF('Gårdens info'!$G$37&gt;0,F18/'Gårdens info'!$G$37,0)</f>
        <v>0</v>
      </c>
      <c r="I18" s="119" t="s">
        <v>206</v>
      </c>
      <c r="J18" s="237">
        <f>F18*'Gårdens info'!$D$37</f>
        <v>0</v>
      </c>
      <c r="K18" s="119" t="s">
        <v>815</v>
      </c>
      <c r="L18" s="236"/>
      <c r="M18" s="239"/>
    </row>
    <row r="19" spans="1:32" s="69" customFormat="1" ht="15" x14ac:dyDescent="0.25">
      <c r="A19" s="496"/>
      <c r="B19" s="235"/>
      <c r="C19" s="228" t="s">
        <v>568</v>
      </c>
      <c r="D19" s="236"/>
      <c r="E19" s="236"/>
      <c r="F19" s="237">
        <f>IF('Gårdens info'!D37&gt;0,J106,0)</f>
        <v>0</v>
      </c>
      <c r="G19" s="119" t="s">
        <v>57</v>
      </c>
      <c r="H19" s="238">
        <f>IF('Gårdens info'!$G$37&gt;0,F19/'Gårdens info'!$G$37,0)</f>
        <v>0</v>
      </c>
      <c r="I19" s="119" t="s">
        <v>206</v>
      </c>
      <c r="J19" s="237">
        <f>F19*'Gårdens info'!$D$37</f>
        <v>0</v>
      </c>
      <c r="K19" s="119" t="s">
        <v>815</v>
      </c>
      <c r="L19" s="236"/>
      <c r="M19" s="239"/>
    </row>
    <row r="20" spans="1:32" s="69" customFormat="1" ht="15" x14ac:dyDescent="0.25">
      <c r="A20" s="496"/>
      <c r="B20" s="235"/>
      <c r="C20" s="228" t="s">
        <v>224</v>
      </c>
      <c r="D20" s="236"/>
      <c r="E20" s="236"/>
      <c r="F20" s="237">
        <f>IF('Gårdens info'!D37&gt;0,J118,0)</f>
        <v>0</v>
      </c>
      <c r="G20" s="119" t="s">
        <v>57</v>
      </c>
      <c r="H20" s="238">
        <f>IF('Gårdens info'!$G$37&gt;0,F20/'Gårdens info'!$G$37,0)</f>
        <v>0</v>
      </c>
      <c r="I20" s="119" t="s">
        <v>206</v>
      </c>
      <c r="J20" s="237">
        <f>F20*'Gårdens info'!$D$37</f>
        <v>0</v>
      </c>
      <c r="K20" s="119" t="s">
        <v>815</v>
      </c>
      <c r="L20" s="236"/>
      <c r="M20" s="239"/>
    </row>
    <row r="21" spans="1:32" s="69" customFormat="1" ht="15" x14ac:dyDescent="0.25">
      <c r="A21" s="496"/>
      <c r="B21" s="235"/>
      <c r="C21" s="228" t="s">
        <v>817</v>
      </c>
      <c r="D21" s="236"/>
      <c r="E21" s="236"/>
      <c r="F21" s="237">
        <f>IF('Gårdens info'!D37&gt;0,L134,0)</f>
        <v>0</v>
      </c>
      <c r="G21" s="119" t="s">
        <v>57</v>
      </c>
      <c r="H21" s="238">
        <f>IF('Gårdens info'!$G$37&gt;0,F21/'Gårdens info'!$G$37,0)</f>
        <v>0</v>
      </c>
      <c r="I21" s="119" t="s">
        <v>206</v>
      </c>
      <c r="J21" s="237">
        <f>F21*'Gårdens info'!$D$37</f>
        <v>0</v>
      </c>
      <c r="K21" s="119" t="s">
        <v>815</v>
      </c>
      <c r="L21" s="236"/>
      <c r="M21" s="239"/>
    </row>
    <row r="22" spans="1:32" ht="15.6" x14ac:dyDescent="0.3">
      <c r="B22" s="251"/>
      <c r="C22" s="240" t="s">
        <v>54</v>
      </c>
      <c r="D22" s="241"/>
      <c r="E22" s="241"/>
      <c r="F22" s="242">
        <f>SUM(F16:F21)</f>
        <v>0</v>
      </c>
      <c r="G22" s="243" t="s">
        <v>57</v>
      </c>
      <c r="H22" s="244">
        <f>SUM(H16:H21)</f>
        <v>0</v>
      </c>
      <c r="I22" s="243" t="s">
        <v>206</v>
      </c>
      <c r="J22" s="242">
        <f>SUM(J16:J21)</f>
        <v>0</v>
      </c>
      <c r="K22" s="243" t="s">
        <v>815</v>
      </c>
      <c r="L22" s="241"/>
      <c r="M22" s="252"/>
      <c r="N22" s="69"/>
      <c r="O22" s="69"/>
      <c r="P22" s="69"/>
      <c r="Q22" s="69"/>
      <c r="R22" s="69"/>
      <c r="S22" s="69"/>
      <c r="T22" s="69"/>
      <c r="U22" s="69"/>
    </row>
    <row r="23" spans="1:32" s="56" customFormat="1" ht="17.399999999999999" x14ac:dyDescent="0.3">
      <c r="A23" s="495"/>
      <c r="B23" s="231"/>
      <c r="C23" s="245"/>
      <c r="D23" s="246"/>
      <c r="E23" s="246"/>
      <c r="F23" s="247"/>
      <c r="G23" s="119"/>
      <c r="H23" s="246"/>
      <c r="I23" s="246"/>
      <c r="J23" s="246"/>
      <c r="K23" s="246"/>
      <c r="L23" s="246"/>
      <c r="M23" s="226"/>
      <c r="N23" s="69"/>
      <c r="O23" s="69"/>
      <c r="P23" s="69"/>
      <c r="R23" s="69"/>
      <c r="S23" s="69"/>
      <c r="T23" s="69"/>
      <c r="U23" s="69"/>
      <c r="AB23" s="449" t="s">
        <v>218</v>
      </c>
      <c r="AC23" s="561">
        <f>F16</f>
        <v>0</v>
      </c>
    </row>
    <row r="24" spans="1:32" s="69" customFormat="1" ht="17.399999999999999" x14ac:dyDescent="0.3">
      <c r="A24" s="496"/>
      <c r="B24" s="1081" t="s">
        <v>818</v>
      </c>
      <c r="C24" s="1082"/>
      <c r="D24" s="1082"/>
      <c r="E24" s="1082"/>
      <c r="F24" s="263">
        <f>IF('Gårdens info'!D37&gt;0,J24/'Gårdens info'!D37,0)</f>
        <v>0</v>
      </c>
      <c r="G24" s="243" t="s">
        <v>57</v>
      </c>
      <c r="H24" s="264">
        <f>IF('Gårdens info'!G37&gt;0,F24/'Gårdens info'!G37,0)</f>
        <v>0</v>
      </c>
      <c r="I24" s="243" t="s">
        <v>206</v>
      </c>
      <c r="J24" s="258">
        <f>'Gårdens info'!G163/'Gårdens info'!D43*'Gårdens info'!D37</f>
        <v>0</v>
      </c>
      <c r="K24" s="243" t="s">
        <v>815</v>
      </c>
      <c r="L24" s="265"/>
      <c r="M24" s="259"/>
      <c r="N24"/>
      <c r="O24"/>
      <c r="P24"/>
      <c r="S24"/>
      <c r="T24"/>
      <c r="U24"/>
      <c r="AB24" s="382" t="str">
        <f>C17</f>
        <v>Gödsel och kalk</v>
      </c>
      <c r="AC24" s="561">
        <f t="shared" ref="AC24:AC28" si="0">F17</f>
        <v>0</v>
      </c>
      <c r="AF24" s="382" t="s">
        <v>219</v>
      </c>
    </row>
    <row r="25" spans="1:32" s="69" customFormat="1" ht="17.399999999999999" customHeight="1" x14ac:dyDescent="0.3">
      <c r="A25" s="496"/>
      <c r="B25" s="1091" t="s">
        <v>819</v>
      </c>
      <c r="C25" s="1092"/>
      <c r="D25" s="1092"/>
      <c r="E25" s="1092"/>
      <c r="F25" s="263">
        <f>IF('Gårdens info'!D37&gt;0,J25/'Gårdens info'!D37,0)</f>
        <v>0</v>
      </c>
      <c r="G25" s="243" t="s">
        <v>57</v>
      </c>
      <c r="H25" s="264">
        <f>IF('Gårdens info'!G37&gt;0,F25/'Gårdens info'!G37,0)</f>
        <v>0</v>
      </c>
      <c r="I25" s="243" t="s">
        <v>206</v>
      </c>
      <c r="J25" s="258">
        <f>'Gårdens info'!$D$48/'Gårdens info'!$D$49*'Gårdens info'!$G$48*'Gårdens info'!D37</f>
        <v>0</v>
      </c>
      <c r="K25" s="243" t="s">
        <v>815</v>
      </c>
      <c r="L25" s="265"/>
      <c r="M25" s="259"/>
      <c r="N25" s="56"/>
      <c r="O25" s="56"/>
      <c r="P25" s="56"/>
      <c r="S25" s="56"/>
      <c r="T25" s="56"/>
      <c r="U25" s="56"/>
      <c r="AB25" s="382" t="str">
        <f>C18</f>
        <v>IPM Växtskydd</v>
      </c>
      <c r="AC25" s="561">
        <f t="shared" si="0"/>
        <v>0</v>
      </c>
      <c r="AF25" s="382" t="s">
        <v>220</v>
      </c>
    </row>
    <row r="26" spans="1:32" s="69" customFormat="1" ht="21" customHeight="1" x14ac:dyDescent="0.4">
      <c r="A26" s="496"/>
      <c r="B26" s="1061" t="s">
        <v>189</v>
      </c>
      <c r="C26" s="1043"/>
      <c r="D26" s="1043"/>
      <c r="E26" s="262"/>
      <c r="F26" s="266">
        <f>F22+F24+F25</f>
        <v>0</v>
      </c>
      <c r="G26" s="267" t="s">
        <v>57</v>
      </c>
      <c r="H26" s="268">
        <f>H22+H24+H25</f>
        <v>0</v>
      </c>
      <c r="I26" s="267" t="s">
        <v>206</v>
      </c>
      <c r="J26" s="269">
        <f>J22+J24+J25</f>
        <v>0</v>
      </c>
      <c r="K26" s="267" t="s">
        <v>815</v>
      </c>
      <c r="L26" s="267"/>
      <c r="M26" s="259"/>
      <c r="AB26" s="382" t="str">
        <f t="shared" ref="AB26:AB28" si="1">C19</f>
        <v>Maskinhyra och entreprenad</v>
      </c>
      <c r="AC26" s="561">
        <f t="shared" si="0"/>
        <v>0</v>
      </c>
      <c r="AF26" s="382" t="s">
        <v>574</v>
      </c>
    </row>
    <row r="27" spans="1:32" s="69" customFormat="1" ht="21" x14ac:dyDescent="0.4">
      <c r="A27" s="496"/>
      <c r="B27" s="288"/>
      <c r="C27" s="270"/>
      <c r="D27" s="270"/>
      <c r="E27" s="262"/>
      <c r="F27" s="266"/>
      <c r="G27" s="267"/>
      <c r="H27" s="268"/>
      <c r="I27" s="267"/>
      <c r="J27" s="269"/>
      <c r="K27" s="267"/>
      <c r="L27" s="267"/>
      <c r="M27" s="259"/>
      <c r="AB27" s="382" t="str">
        <f t="shared" si="1"/>
        <v>Energikostnader</v>
      </c>
      <c r="AC27" s="561">
        <f t="shared" si="0"/>
        <v>0</v>
      </c>
      <c r="AF27" s="382" t="s">
        <v>575</v>
      </c>
    </row>
    <row r="28" spans="1:32" s="69" customFormat="1" ht="21" x14ac:dyDescent="0.4">
      <c r="A28" s="496"/>
      <c r="B28" s="257" t="s">
        <v>820</v>
      </c>
      <c r="C28" s="225"/>
      <c r="D28" s="116"/>
      <c r="E28" s="116"/>
      <c r="F28" s="116"/>
      <c r="G28" s="116"/>
      <c r="H28" s="116"/>
      <c r="I28" s="116"/>
      <c r="J28" s="232"/>
      <c r="K28" s="116"/>
      <c r="L28" s="116"/>
      <c r="M28" s="226"/>
      <c r="AB28" s="382" t="str">
        <f t="shared" si="1"/>
        <v xml:space="preserve">Anställd arbetskraft </v>
      </c>
      <c r="AC28" s="561">
        <f t="shared" si="0"/>
        <v>0</v>
      </c>
      <c r="AF28" s="381" t="s">
        <v>576</v>
      </c>
    </row>
    <row r="29" spans="1:32" s="69" customFormat="1" ht="21" x14ac:dyDescent="0.4">
      <c r="A29" s="496"/>
      <c r="B29" s="1081" t="s">
        <v>69</v>
      </c>
      <c r="C29" s="1082"/>
      <c r="D29" s="270"/>
      <c r="E29" s="262"/>
      <c r="F29" s="266"/>
      <c r="G29" s="267"/>
      <c r="H29" s="268"/>
      <c r="I29" s="267"/>
      <c r="J29" s="269"/>
      <c r="K29" s="267"/>
      <c r="L29" s="267"/>
      <c r="M29" s="259"/>
      <c r="AB29" s="384" t="s">
        <v>538</v>
      </c>
      <c r="AC29" s="384">
        <f>F24</f>
        <v>0</v>
      </c>
      <c r="AF29" s="449" t="s">
        <v>568</v>
      </c>
    </row>
    <row r="30" spans="1:32" s="69" customFormat="1" ht="21" x14ac:dyDescent="0.4">
      <c r="A30" s="496"/>
      <c r="B30" s="287"/>
      <c r="C30" s="274" t="s">
        <v>229</v>
      </c>
      <c r="D30" s="270"/>
      <c r="E30" s="262"/>
      <c r="F30" s="276">
        <f>IF('Gårdens info'!$D$37&gt;0,J30/'Gårdens info'!$D$37,0)</f>
        <v>0</v>
      </c>
      <c r="G30" s="119" t="s">
        <v>57</v>
      </c>
      <c r="H30" s="277">
        <f>IF('Gårdens info'!$G$37&gt;0,F30/'Gårdens info'!$G$37,0)</f>
        <v>0</v>
      </c>
      <c r="I30" s="119" t="s">
        <v>206</v>
      </c>
      <c r="J30" s="237">
        <f>Egendom!BC25</f>
        <v>0</v>
      </c>
      <c r="K30" s="119" t="s">
        <v>815</v>
      </c>
      <c r="L30" s="267"/>
      <c r="M30" s="259"/>
      <c r="AB30" s="382" t="s">
        <v>482</v>
      </c>
      <c r="AC30" s="384">
        <f>F25</f>
        <v>0</v>
      </c>
      <c r="AF30" s="382" t="s">
        <v>224</v>
      </c>
    </row>
    <row r="31" spans="1:32" s="192" customFormat="1" ht="21" x14ac:dyDescent="0.4">
      <c r="A31" s="497"/>
      <c r="B31" s="287"/>
      <c r="C31" s="274" t="s">
        <v>230</v>
      </c>
      <c r="D31" s="270"/>
      <c r="E31" s="262"/>
      <c r="F31" s="276">
        <f>IF('Gårdens info'!$D$37&gt;0,J31/'Gårdens info'!$D$37,0)</f>
        <v>0</v>
      </c>
      <c r="G31" s="119" t="s">
        <v>57</v>
      </c>
      <c r="H31" s="277">
        <f>IF('Gårdens info'!$G$37&gt;0,F31/'Gårdens info'!$G$37,0)</f>
        <v>0</v>
      </c>
      <c r="I31" s="119" t="s">
        <v>206</v>
      </c>
      <c r="J31" s="237">
        <f>Egendom!CA25</f>
        <v>0</v>
      </c>
      <c r="K31" s="119" t="s">
        <v>815</v>
      </c>
      <c r="L31" s="267"/>
      <c r="M31" s="259"/>
      <c r="N31" s="69"/>
      <c r="O31" s="69"/>
      <c r="P31" s="69"/>
      <c r="S31" s="69"/>
      <c r="T31" s="69"/>
      <c r="U31" s="69"/>
      <c r="AB31" s="382" t="s">
        <v>235</v>
      </c>
      <c r="AC31" s="385">
        <f>F34</f>
        <v>0</v>
      </c>
      <c r="AF31" s="382" t="s">
        <v>225</v>
      </c>
    </row>
    <row r="32" spans="1:32" ht="17.399999999999999" customHeight="1" x14ac:dyDescent="0.3">
      <c r="B32" s="287"/>
      <c r="C32" s="1083" t="s">
        <v>232</v>
      </c>
      <c r="D32" s="1083"/>
      <c r="E32" s="262"/>
      <c r="F32" s="276">
        <f>IF('Gårdens info'!$D$37&gt;0,J32/'Gårdens info'!$D$37,0)</f>
        <v>0</v>
      </c>
      <c r="G32" s="119" t="s">
        <v>57</v>
      </c>
      <c r="H32" s="277">
        <f>IF('Gårdens info'!$G$37&gt;0,F32/'Gårdens info'!$G$37,0)</f>
        <v>0</v>
      </c>
      <c r="I32" s="119" t="s">
        <v>206</v>
      </c>
      <c r="J32" s="237">
        <f>Egendom!CY25</f>
        <v>0</v>
      </c>
      <c r="K32" s="119" t="s">
        <v>815</v>
      </c>
      <c r="L32" s="267"/>
      <c r="M32" s="259"/>
      <c r="N32" s="69"/>
      <c r="O32" s="69"/>
      <c r="P32" s="69"/>
      <c r="S32" s="69"/>
      <c r="T32" s="69"/>
      <c r="U32" s="69"/>
      <c r="AB32" s="382" t="s">
        <v>236</v>
      </c>
      <c r="AC32" s="386">
        <f>F41</f>
        <v>0</v>
      </c>
    </row>
    <row r="33" spans="1:29" ht="21" x14ac:dyDescent="0.4">
      <c r="B33" s="287"/>
      <c r="C33" s="274" t="s">
        <v>234</v>
      </c>
      <c r="D33" s="270"/>
      <c r="E33" s="262"/>
      <c r="F33" s="276">
        <f>IF('Gårdens info'!$D$37&gt;0,J33/'Gårdens info'!$D$37,0)</f>
        <v>0</v>
      </c>
      <c r="G33" s="119" t="s">
        <v>57</v>
      </c>
      <c r="H33" s="277">
        <f>IF('Gårdens info'!$G$37&gt;0,F33/'Gårdens info'!$G$37,0)</f>
        <v>0</v>
      </c>
      <c r="I33" s="119" t="s">
        <v>206</v>
      </c>
      <c r="J33" s="237">
        <f>Egendom!DW25</f>
        <v>0</v>
      </c>
      <c r="K33" s="119" t="s">
        <v>815</v>
      </c>
      <c r="L33" s="267"/>
      <c r="M33" s="259"/>
      <c r="N33" s="192"/>
      <c r="O33" s="192"/>
      <c r="P33" s="192"/>
      <c r="S33" s="192"/>
      <c r="T33" s="192"/>
      <c r="U33" s="192"/>
      <c r="AB33" s="382" t="s">
        <v>237</v>
      </c>
      <c r="AC33" s="386">
        <f>F48</f>
        <v>0</v>
      </c>
    </row>
    <row r="34" spans="1:29" ht="20.399999999999999" x14ac:dyDescent="0.35">
      <c r="B34" s="289"/>
      <c r="C34" s="278" t="s">
        <v>54</v>
      </c>
      <c r="D34" s="279"/>
      <c r="E34" s="262"/>
      <c r="F34" s="280">
        <f>SUM(F30:F33)</f>
        <v>0</v>
      </c>
      <c r="G34" s="119" t="s">
        <v>57</v>
      </c>
      <c r="H34" s="285">
        <f t="shared" ref="H34:J34" si="2">SUM(H30:H33)</f>
        <v>0</v>
      </c>
      <c r="I34" s="119" t="s">
        <v>206</v>
      </c>
      <c r="J34" s="280">
        <f t="shared" si="2"/>
        <v>0</v>
      </c>
      <c r="K34" s="119" t="s">
        <v>815</v>
      </c>
      <c r="L34" s="281"/>
      <c r="M34" s="259"/>
      <c r="AB34" s="382" t="s">
        <v>141</v>
      </c>
      <c r="AC34" s="386">
        <f>F54</f>
        <v>0</v>
      </c>
    </row>
    <row r="35" spans="1:29" s="69" customFormat="1" ht="21" x14ac:dyDescent="0.4">
      <c r="A35" s="496"/>
      <c r="B35" s="287"/>
      <c r="C35" s="274"/>
      <c r="D35" s="270"/>
      <c r="E35" s="262"/>
      <c r="F35" s="276"/>
      <c r="G35" s="119"/>
      <c r="H35" s="277"/>
      <c r="I35" s="119"/>
      <c r="J35" s="237"/>
      <c r="K35" s="119"/>
      <c r="L35" s="267"/>
      <c r="M35" s="259"/>
      <c r="N35"/>
      <c r="O35"/>
      <c r="P35"/>
      <c r="S35"/>
      <c r="T35"/>
      <c r="U35"/>
      <c r="AB35" s="382" t="s">
        <v>192</v>
      </c>
      <c r="AC35" s="384">
        <f>F60</f>
        <v>0</v>
      </c>
    </row>
    <row r="36" spans="1:29" s="69" customFormat="1" ht="17.399999999999999" x14ac:dyDescent="0.3">
      <c r="A36" s="496"/>
      <c r="B36" s="1081" t="s">
        <v>83</v>
      </c>
      <c r="C36" s="1082"/>
      <c r="D36" s="1082"/>
      <c r="E36" s="262"/>
      <c r="F36" s="276"/>
      <c r="G36" s="119"/>
      <c r="H36" s="277"/>
      <c r="I36" s="119"/>
      <c r="J36" s="237"/>
      <c r="K36" s="119"/>
      <c r="L36" s="267"/>
      <c r="M36" s="259"/>
      <c r="N36"/>
      <c r="O36"/>
      <c r="P36"/>
      <c r="S36"/>
      <c r="T36"/>
      <c r="U36"/>
      <c r="AB36" s="5"/>
      <c r="AC36" s="5"/>
    </row>
    <row r="37" spans="1:29" s="69" customFormat="1" ht="21" x14ac:dyDescent="0.4">
      <c r="A37" s="496"/>
      <c r="B37" s="287"/>
      <c r="C37" s="274" t="s">
        <v>229</v>
      </c>
      <c r="D37" s="270"/>
      <c r="E37" s="262"/>
      <c r="F37" s="276">
        <f>IF('Gårdens info'!$D$37&gt;0,J37/'Gårdens info'!$D$37,0)</f>
        <v>0</v>
      </c>
      <c r="G37" s="119" t="s">
        <v>57</v>
      </c>
      <c r="H37" s="277">
        <f>IF('Gårdens info'!$G$37&gt;0,F37/'Gårdens info'!$G$37,0)</f>
        <v>0</v>
      </c>
      <c r="I37" s="119" t="s">
        <v>206</v>
      </c>
      <c r="J37" s="237">
        <f>Egendom!BC61</f>
        <v>0</v>
      </c>
      <c r="K37" s="119" t="s">
        <v>815</v>
      </c>
      <c r="L37" s="267"/>
      <c r="M37" s="259"/>
      <c r="AB37" s="5"/>
      <c r="AC37" s="5"/>
    </row>
    <row r="38" spans="1:29" s="5" customFormat="1" ht="21" x14ac:dyDescent="0.4">
      <c r="A38" s="198"/>
      <c r="B38" s="287"/>
      <c r="C38" s="274" t="s">
        <v>230</v>
      </c>
      <c r="D38" s="270"/>
      <c r="E38" s="262"/>
      <c r="F38" s="276">
        <f>IF('Gårdens info'!$D$37&gt;0,J38/'Gårdens info'!$D$37,0)</f>
        <v>0</v>
      </c>
      <c r="G38" s="119" t="s">
        <v>57</v>
      </c>
      <c r="H38" s="277">
        <f>IF('Gårdens info'!$G$37&gt;0,F38/'Gårdens info'!$G$37,0)</f>
        <v>0</v>
      </c>
      <c r="I38" s="119" t="s">
        <v>206</v>
      </c>
      <c r="J38" s="237">
        <f>Egendom!CA61</f>
        <v>0</v>
      </c>
      <c r="K38" s="119" t="s">
        <v>815</v>
      </c>
      <c r="L38" s="267"/>
      <c r="M38" s="259"/>
      <c r="N38" s="69"/>
      <c r="O38" s="69"/>
      <c r="P38" s="69"/>
      <c r="Q38" s="69"/>
      <c r="R38" s="69"/>
      <c r="S38" s="69"/>
      <c r="T38" s="69"/>
      <c r="U38" s="69"/>
    </row>
    <row r="39" spans="1:29" s="5" customFormat="1" ht="17.399999999999999" customHeight="1" x14ac:dyDescent="0.3">
      <c r="A39" s="198"/>
      <c r="B39" s="287"/>
      <c r="C39" s="1083" t="s">
        <v>232</v>
      </c>
      <c r="D39" s="1083"/>
      <c r="E39" s="262"/>
      <c r="F39" s="276">
        <f>IF('Gårdens info'!$D$37&gt;0,J39/'Gårdens info'!$D$37,0)</f>
        <v>0</v>
      </c>
      <c r="G39" s="119" t="s">
        <v>57</v>
      </c>
      <c r="H39" s="277">
        <f>IF('Gårdens info'!$G$37&gt;0,F39/'Gårdens info'!$G$37,0)</f>
        <v>0</v>
      </c>
      <c r="I39" s="119" t="s">
        <v>206</v>
      </c>
      <c r="J39" s="237" t="e">
        <f>Egendom!CY61</f>
        <v>#DIV/0!</v>
      </c>
      <c r="K39" s="119" t="s">
        <v>815</v>
      </c>
      <c r="L39" s="267"/>
      <c r="M39" s="259"/>
      <c r="N39" s="69"/>
      <c r="O39" s="69"/>
      <c r="P39" s="69"/>
      <c r="Q39" s="69"/>
      <c r="R39" s="69"/>
      <c r="S39" s="69"/>
      <c r="T39" s="69"/>
      <c r="U39" s="69"/>
    </row>
    <row r="40" spans="1:29" s="5" customFormat="1" ht="21" x14ac:dyDescent="0.4">
      <c r="A40" s="198"/>
      <c r="B40" s="287"/>
      <c r="C40" s="274" t="s">
        <v>234</v>
      </c>
      <c r="D40" s="270"/>
      <c r="E40" s="262"/>
      <c r="F40" s="276">
        <f>IF('Gårdens info'!$D$37&gt;0,J40/'Gårdens info'!$D$37,0)</f>
        <v>0</v>
      </c>
      <c r="G40" s="119" t="s">
        <v>57</v>
      </c>
      <c r="H40" s="277">
        <f>IF('Gårdens info'!$G$37&gt;0,F40/'Gårdens info'!$G$37,0)</f>
        <v>0</v>
      </c>
      <c r="I40" s="119" t="s">
        <v>206</v>
      </c>
      <c r="J40" s="237" t="e">
        <f>Egendom!DW61</f>
        <v>#DIV/0!</v>
      </c>
      <c r="K40" s="119" t="s">
        <v>815</v>
      </c>
      <c r="L40" s="267"/>
      <c r="M40" s="259"/>
    </row>
    <row r="41" spans="1:29" s="5" customFormat="1" ht="20.399999999999999" x14ac:dyDescent="0.35">
      <c r="A41" s="198"/>
      <c r="B41" s="289"/>
      <c r="C41" s="278" t="s">
        <v>54</v>
      </c>
      <c r="D41" s="279"/>
      <c r="E41" s="262"/>
      <c r="F41" s="280">
        <f>SUM(F37:F40)</f>
        <v>0</v>
      </c>
      <c r="G41" s="119" t="s">
        <v>57</v>
      </c>
      <c r="H41" s="285">
        <f t="shared" ref="H41:J41" si="3">SUM(H37:H40)</f>
        <v>0</v>
      </c>
      <c r="I41" s="119" t="s">
        <v>206</v>
      </c>
      <c r="J41" s="280" t="e">
        <f t="shared" si="3"/>
        <v>#DIV/0!</v>
      </c>
      <c r="K41" s="119" t="s">
        <v>815</v>
      </c>
      <c r="L41" s="281"/>
      <c r="M41" s="259"/>
    </row>
    <row r="42" spans="1:29" s="5" customFormat="1" ht="21" x14ac:dyDescent="0.4">
      <c r="A42" s="198"/>
      <c r="B42" s="287"/>
      <c r="C42" s="274"/>
      <c r="D42" s="270"/>
      <c r="E42" s="262"/>
      <c r="F42" s="276"/>
      <c r="G42" s="119"/>
      <c r="H42" s="277"/>
      <c r="I42" s="119"/>
      <c r="J42" s="237"/>
      <c r="K42" s="119"/>
      <c r="L42" s="267"/>
      <c r="M42" s="259"/>
      <c r="AB42"/>
      <c r="AC42"/>
    </row>
    <row r="43" spans="1:29" s="5" customFormat="1" ht="43.2" customHeight="1" x14ac:dyDescent="0.3">
      <c r="A43" s="198"/>
      <c r="B43" s="1081" t="s">
        <v>355</v>
      </c>
      <c r="C43" s="1082"/>
      <c r="D43" s="1082"/>
      <c r="E43" s="262"/>
      <c r="F43" s="276"/>
      <c r="G43" s="119"/>
      <c r="H43" s="277"/>
      <c r="I43" s="119"/>
      <c r="J43" s="237"/>
      <c r="K43" s="119"/>
      <c r="L43" s="267"/>
      <c r="M43" s="259"/>
    </row>
    <row r="44" spans="1:29" ht="21" x14ac:dyDescent="0.4">
      <c r="B44" s="287"/>
      <c r="C44" s="274" t="s">
        <v>229</v>
      </c>
      <c r="D44" s="270"/>
      <c r="E44" s="262"/>
      <c r="F44" s="276">
        <f>IF('Gårdens info'!$D$37&gt;0,J44/'Gårdens info'!$D$37,0)</f>
        <v>0</v>
      </c>
      <c r="G44" s="119" t="s">
        <v>57</v>
      </c>
      <c r="H44" s="277">
        <f>IF('Gårdens info'!$G$37&gt;0,F44/'Gårdens info'!$G$37,0)</f>
        <v>0</v>
      </c>
      <c r="I44" s="119" t="s">
        <v>206</v>
      </c>
      <c r="J44" s="237">
        <f>Egendom!BC90</f>
        <v>0</v>
      </c>
      <c r="K44" s="119" t="s">
        <v>815</v>
      </c>
      <c r="L44" s="267"/>
      <c r="M44" s="259"/>
      <c r="N44" s="5"/>
      <c r="O44" s="5"/>
      <c r="P44" s="5"/>
      <c r="Q44" s="5"/>
      <c r="R44" s="5"/>
      <c r="S44" s="5"/>
      <c r="T44" s="5"/>
      <c r="U44" s="5"/>
      <c r="AB44" s="5"/>
      <c r="AC44" s="5"/>
    </row>
    <row r="45" spans="1:29" s="5" customFormat="1" ht="21" x14ac:dyDescent="0.4">
      <c r="A45" s="198"/>
      <c r="B45" s="287"/>
      <c r="C45" s="274" t="s">
        <v>230</v>
      </c>
      <c r="D45" s="270"/>
      <c r="E45" s="262"/>
      <c r="F45" s="276">
        <f>IF('Gårdens info'!$D$37&gt;0,J45/'Gårdens info'!$D$37,0)</f>
        <v>0</v>
      </c>
      <c r="G45" s="119" t="s">
        <v>57</v>
      </c>
      <c r="H45" s="277">
        <f>IF('Gårdens info'!$G$37&gt;0,F45/'Gårdens info'!$G$37,0)</f>
        <v>0</v>
      </c>
      <c r="I45" s="119" t="s">
        <v>206</v>
      </c>
      <c r="J45" s="237">
        <f>Egendom!CA90</f>
        <v>0</v>
      </c>
      <c r="K45" s="119" t="s">
        <v>815</v>
      </c>
      <c r="L45" s="267"/>
      <c r="M45" s="259"/>
    </row>
    <row r="46" spans="1:29" s="5" customFormat="1" ht="17.399999999999999" customHeight="1" x14ac:dyDescent="0.3">
      <c r="A46" s="198"/>
      <c r="B46" s="287"/>
      <c r="C46" s="1083" t="s">
        <v>232</v>
      </c>
      <c r="D46" s="1083"/>
      <c r="E46" s="262"/>
      <c r="F46" s="276">
        <f>IF('Gårdens info'!$D$37&gt;0,J46/'Gårdens info'!$D$37,0)</f>
        <v>0</v>
      </c>
      <c r="G46" s="119" t="s">
        <v>57</v>
      </c>
      <c r="H46" s="277">
        <f>IF('Gårdens info'!$G$37&gt;0,F46/'Gårdens info'!$G$37,0)</f>
        <v>0</v>
      </c>
      <c r="I46" s="119" t="s">
        <v>206</v>
      </c>
      <c r="J46" s="237">
        <f>Egendom!CY90</f>
        <v>0</v>
      </c>
      <c r="K46" s="119" t="s">
        <v>815</v>
      </c>
      <c r="L46" s="267"/>
      <c r="M46" s="259"/>
      <c r="N46"/>
      <c r="O46"/>
      <c r="P46"/>
      <c r="Q46"/>
      <c r="R46"/>
      <c r="S46"/>
      <c r="T46"/>
      <c r="U46"/>
    </row>
    <row r="47" spans="1:29" s="5" customFormat="1" ht="21" x14ac:dyDescent="0.4">
      <c r="A47" s="198"/>
      <c r="B47" s="287"/>
      <c r="C47" s="274" t="s">
        <v>234</v>
      </c>
      <c r="D47" s="270"/>
      <c r="E47" s="262"/>
      <c r="F47" s="276">
        <f>IF('Gårdens info'!$D$37&gt;0,J47/'Gårdens info'!$D$37,0)</f>
        <v>0</v>
      </c>
      <c r="G47" s="119" t="s">
        <v>57</v>
      </c>
      <c r="H47" s="277">
        <f>IF('Gårdens info'!$G$37&gt;0,F47/'Gårdens info'!$G$37,0)</f>
        <v>0</v>
      </c>
      <c r="I47" s="119" t="s">
        <v>206</v>
      </c>
      <c r="J47" s="237">
        <f>Egendom!DW90</f>
        <v>0</v>
      </c>
      <c r="K47" s="119" t="s">
        <v>815</v>
      </c>
      <c r="L47" s="267"/>
      <c r="M47" s="259"/>
    </row>
    <row r="48" spans="1:29" s="5" customFormat="1" ht="20.399999999999999" x14ac:dyDescent="0.35">
      <c r="A48" s="198"/>
      <c r="B48" s="289"/>
      <c r="C48" s="278" t="s">
        <v>54</v>
      </c>
      <c r="D48" s="279"/>
      <c r="E48" s="262"/>
      <c r="F48" s="280">
        <f>SUM(F44:F47)</f>
        <v>0</v>
      </c>
      <c r="G48" s="119" t="s">
        <v>57</v>
      </c>
      <c r="H48" s="285">
        <f t="shared" ref="H48:J48" si="4">SUM(H44:H47)</f>
        <v>0</v>
      </c>
      <c r="I48" s="119" t="s">
        <v>206</v>
      </c>
      <c r="J48" s="280">
        <f t="shared" si="4"/>
        <v>0</v>
      </c>
      <c r="K48" s="119" t="s">
        <v>815</v>
      </c>
      <c r="L48" s="281"/>
      <c r="M48" s="259"/>
    </row>
    <row r="49" spans="1:29" s="5" customFormat="1" ht="21" x14ac:dyDescent="0.4">
      <c r="A49" s="198"/>
      <c r="B49" s="287"/>
      <c r="C49" s="274"/>
      <c r="D49" s="270"/>
      <c r="E49" s="262"/>
      <c r="F49" s="276"/>
      <c r="G49" s="119"/>
      <c r="H49" s="277"/>
      <c r="I49" s="119"/>
      <c r="J49" s="237"/>
      <c r="K49" s="119"/>
      <c r="L49" s="267"/>
      <c r="M49" s="259"/>
    </row>
    <row r="50" spans="1:29" s="5" customFormat="1" ht="21" x14ac:dyDescent="0.4">
      <c r="A50" s="198"/>
      <c r="B50" s="1084" t="s">
        <v>821</v>
      </c>
      <c r="C50" s="1085"/>
      <c r="D50" s="270"/>
      <c r="E50" s="262"/>
      <c r="F50" s="276"/>
      <c r="G50" s="119"/>
      <c r="H50" s="277"/>
      <c r="I50" s="119"/>
      <c r="J50" s="237"/>
      <c r="K50" s="119"/>
      <c r="L50" s="267"/>
      <c r="M50" s="259"/>
    </row>
    <row r="51" spans="1:29" s="5" customFormat="1" ht="21" x14ac:dyDescent="0.4">
      <c r="A51" s="198"/>
      <c r="B51" s="287"/>
      <c r="C51" s="274" t="s">
        <v>229</v>
      </c>
      <c r="D51" s="270"/>
      <c r="E51" s="262"/>
      <c r="F51" s="276">
        <f>IF('Gårdens info'!$D$37&gt;0,J51/'Gårdens info'!$D$37,0)</f>
        <v>0</v>
      </c>
      <c r="G51" s="119" t="s">
        <v>57</v>
      </c>
      <c r="H51" s="277">
        <f>IF('Gårdens info'!$G$37&gt;0,F51/'Gårdens info'!$G$37,0)</f>
        <v>0</v>
      </c>
      <c r="I51" s="119" t="s">
        <v>206</v>
      </c>
      <c r="J51" s="237">
        <f>Egendom!BC93</f>
        <v>0</v>
      </c>
      <c r="K51" s="119" t="s">
        <v>815</v>
      </c>
      <c r="L51" s="267"/>
      <c r="M51" s="259"/>
    </row>
    <row r="52" spans="1:29" s="5" customFormat="1" ht="19.95" customHeight="1" x14ac:dyDescent="0.4">
      <c r="A52" s="198"/>
      <c r="B52" s="287"/>
      <c r="C52" s="274" t="s">
        <v>230</v>
      </c>
      <c r="D52" s="270"/>
      <c r="E52" s="262"/>
      <c r="F52" s="276">
        <f>IF('Gårdens info'!$D$37&gt;0,J52/'Gårdens info'!$D$37,0)</f>
        <v>0</v>
      </c>
      <c r="G52" s="119" t="s">
        <v>57</v>
      </c>
      <c r="H52" s="277">
        <f>IF('Gårdens info'!$G$37&gt;0,F52/'Gårdens info'!$G$37,0)</f>
        <v>0</v>
      </c>
      <c r="I52" s="119" t="s">
        <v>206</v>
      </c>
      <c r="J52" s="237">
        <f>Egendom!CA93</f>
        <v>0</v>
      </c>
      <c r="K52" s="119" t="s">
        <v>815</v>
      </c>
      <c r="L52" s="267"/>
      <c r="M52" s="259"/>
    </row>
    <row r="53" spans="1:29" s="5" customFormat="1" ht="17.399999999999999" customHeight="1" x14ac:dyDescent="0.3">
      <c r="A53" s="198"/>
      <c r="B53" s="287"/>
      <c r="C53" s="1083" t="s">
        <v>232</v>
      </c>
      <c r="D53" s="1083"/>
      <c r="E53" s="262"/>
      <c r="F53" s="276">
        <f>IF('Gårdens info'!$D$37&gt;0,J53/'Gårdens info'!$D$37,0)</f>
        <v>0</v>
      </c>
      <c r="G53" s="119" t="s">
        <v>57</v>
      </c>
      <c r="H53" s="277">
        <f>IF('Gårdens info'!$G$37&gt;0,F53/'Gårdens info'!$G$37,0)</f>
        <v>0</v>
      </c>
      <c r="I53" s="119" t="s">
        <v>206</v>
      </c>
      <c r="J53" s="237">
        <f>Egendom!CY93</f>
        <v>0</v>
      </c>
      <c r="K53" s="119" t="s">
        <v>815</v>
      </c>
      <c r="L53" s="267"/>
      <c r="M53" s="259"/>
    </row>
    <row r="54" spans="1:29" s="5" customFormat="1" ht="15.6" x14ac:dyDescent="0.3">
      <c r="A54" s="198"/>
      <c r="B54" s="286"/>
      <c r="C54" s="261" t="s">
        <v>54</v>
      </c>
      <c r="D54" s="261"/>
      <c r="E54" s="261"/>
      <c r="F54" s="280">
        <f>SUM(F51:F53)</f>
        <v>0</v>
      </c>
      <c r="G54" s="119" t="s">
        <v>57</v>
      </c>
      <c r="H54" s="285">
        <f t="shared" ref="H54:J54" si="5">SUM(H51:H53)</f>
        <v>0</v>
      </c>
      <c r="I54" s="119" t="s">
        <v>206</v>
      </c>
      <c r="J54" s="280">
        <f t="shared" si="5"/>
        <v>0</v>
      </c>
      <c r="K54" s="119" t="s">
        <v>815</v>
      </c>
      <c r="L54" s="284"/>
      <c r="M54" s="290"/>
    </row>
    <row r="55" spans="1:29" s="5" customFormat="1" ht="21" customHeight="1" x14ac:dyDescent="0.4">
      <c r="A55" s="198"/>
      <c r="B55" s="1061" t="s">
        <v>191</v>
      </c>
      <c r="C55" s="1043"/>
      <c r="D55" s="1043"/>
      <c r="E55" s="262"/>
      <c r="F55" s="266">
        <f>F34+F41+F48+F54</f>
        <v>0</v>
      </c>
      <c r="G55" s="267" t="s">
        <v>57</v>
      </c>
      <c r="H55" s="268">
        <f>H34+H41+H48+H54</f>
        <v>0</v>
      </c>
      <c r="I55" s="267" t="s">
        <v>206</v>
      </c>
      <c r="J55" s="269" t="e">
        <f>J34+J41+J48+J54</f>
        <v>#DIV/0!</v>
      </c>
      <c r="K55" s="267" t="s">
        <v>815</v>
      </c>
      <c r="L55" s="267"/>
      <c r="M55" s="259"/>
    </row>
    <row r="56" spans="1:29" s="5" customFormat="1" ht="15.6" x14ac:dyDescent="0.3">
      <c r="A56" s="198"/>
      <c r="B56" s="286"/>
      <c r="C56" s="262"/>
      <c r="D56" s="262"/>
      <c r="E56" s="262"/>
      <c r="F56" s="263"/>
      <c r="G56" s="243"/>
      <c r="H56" s="264"/>
      <c r="I56" s="243"/>
      <c r="J56" s="258"/>
      <c r="K56" s="243"/>
      <c r="L56" s="265"/>
      <c r="M56" s="259"/>
    </row>
    <row r="57" spans="1:29" s="5" customFormat="1" ht="21" x14ac:dyDescent="0.4">
      <c r="A57" s="198"/>
      <c r="B57" s="257" t="s">
        <v>192</v>
      </c>
      <c r="C57" s="262"/>
      <c r="D57" s="262"/>
      <c r="E57" s="262"/>
      <c r="F57" s="263"/>
      <c r="G57" s="243"/>
      <c r="H57" s="264"/>
      <c r="I57" s="243"/>
      <c r="J57" s="258"/>
      <c r="K57" s="243"/>
      <c r="L57" s="265"/>
      <c r="M57" s="259"/>
    </row>
    <row r="58" spans="1:29" s="5" customFormat="1" ht="15" x14ac:dyDescent="0.25">
      <c r="A58" s="198"/>
      <c r="B58" s="235"/>
      <c r="C58" s="228" t="s">
        <v>192</v>
      </c>
      <c r="D58" s="236"/>
      <c r="E58" s="236"/>
      <c r="F58" s="237">
        <f>IF('Gårdens info'!D37&gt;0,H134,0)</f>
        <v>0</v>
      </c>
      <c r="G58" s="119" t="s">
        <v>57</v>
      </c>
      <c r="H58" s="238">
        <f>IF('Gårdens info'!G37&gt;0,F58/'Gårdens info'!$G$37,0)</f>
        <v>0</v>
      </c>
      <c r="I58" s="119" t="s">
        <v>206</v>
      </c>
      <c r="J58" s="237">
        <f>F58*'Gårdens info'!D37</f>
        <v>0</v>
      </c>
      <c r="K58" s="119" t="s">
        <v>815</v>
      </c>
      <c r="L58" s="236"/>
      <c r="M58" s="239"/>
    </row>
    <row r="59" spans="1:29" s="5" customFormat="1" ht="17.399999999999999" x14ac:dyDescent="0.3">
      <c r="A59" s="198"/>
      <c r="B59" s="248"/>
      <c r="C59" s="245"/>
      <c r="D59" s="249"/>
      <c r="E59" s="249"/>
      <c r="F59" s="250"/>
      <c r="G59" s="120"/>
      <c r="H59" s="249"/>
      <c r="I59" s="249"/>
      <c r="J59" s="249"/>
      <c r="K59" s="249"/>
      <c r="L59" s="249"/>
      <c r="M59" s="234"/>
    </row>
    <row r="60" spans="1:29" s="5" customFormat="1" ht="21" customHeight="1" x14ac:dyDescent="0.4">
      <c r="A60" s="198"/>
      <c r="B60" s="1061" t="s">
        <v>192</v>
      </c>
      <c r="C60" s="1043"/>
      <c r="D60" s="1043"/>
      <c r="E60" s="262"/>
      <c r="F60" s="266">
        <f>F58</f>
        <v>0</v>
      </c>
      <c r="G60" s="267" t="s">
        <v>57</v>
      </c>
      <c r="H60" s="268">
        <f>H58</f>
        <v>0</v>
      </c>
      <c r="I60" s="267" t="s">
        <v>206</v>
      </c>
      <c r="J60" s="269">
        <f>J58</f>
        <v>0</v>
      </c>
      <c r="K60" s="267" t="s">
        <v>815</v>
      </c>
      <c r="L60" s="267"/>
      <c r="M60" s="259"/>
    </row>
    <row r="61" spans="1:29" s="5" customFormat="1" ht="21" x14ac:dyDescent="0.4">
      <c r="A61" s="198"/>
      <c r="B61" s="288"/>
      <c r="C61" s="270"/>
      <c r="D61" s="270"/>
      <c r="E61" s="262"/>
      <c r="F61" s="266"/>
      <c r="G61" s="267"/>
      <c r="H61" s="268"/>
      <c r="I61" s="267"/>
      <c r="J61" s="269"/>
      <c r="K61" s="267"/>
      <c r="L61" s="267"/>
      <c r="M61" s="259"/>
    </row>
    <row r="62" spans="1:29" s="5" customFormat="1" ht="21" customHeight="1" x14ac:dyDescent="0.4">
      <c r="A62" s="198"/>
      <c r="B62" s="1061" t="s">
        <v>822</v>
      </c>
      <c r="C62" s="1043"/>
      <c r="D62" s="1043"/>
      <c r="E62" s="262"/>
      <c r="F62" s="266">
        <f>F26+F55+F60</f>
        <v>0</v>
      </c>
      <c r="G62" s="267" t="s">
        <v>57</v>
      </c>
      <c r="H62" s="572">
        <f>H26+H55+H60</f>
        <v>0</v>
      </c>
      <c r="I62" s="267" t="s">
        <v>206</v>
      </c>
      <c r="J62" s="266" t="e">
        <f>J26+J55+J60</f>
        <v>#DIV/0!</v>
      </c>
      <c r="K62" s="267" t="s">
        <v>815</v>
      </c>
      <c r="L62" s="267"/>
      <c r="M62" s="259"/>
    </row>
    <row r="63" spans="1:29" s="5" customFormat="1" ht="21" x14ac:dyDescent="0.4">
      <c r="A63" s="198"/>
      <c r="B63" s="288"/>
      <c r="C63" s="270"/>
      <c r="D63" s="270"/>
      <c r="E63" s="262"/>
      <c r="F63" s="266"/>
      <c r="G63" s="267"/>
      <c r="H63" s="268"/>
      <c r="I63" s="267"/>
      <c r="J63" s="269"/>
      <c r="K63" s="267"/>
      <c r="L63" s="267"/>
      <c r="M63" s="259"/>
    </row>
    <row r="64" spans="1:29" s="5" customFormat="1" ht="21.6" customHeight="1" thickBot="1" x14ac:dyDescent="0.45">
      <c r="A64" s="198"/>
      <c r="B64" s="1059" t="s">
        <v>198</v>
      </c>
      <c r="C64" s="1060"/>
      <c r="D64" s="1060"/>
      <c r="E64" s="253"/>
      <c r="F64" s="292">
        <f>F11-F26-F55-F60</f>
        <v>459.1</v>
      </c>
      <c r="G64" s="293" t="s">
        <v>57</v>
      </c>
      <c r="H64" s="294">
        <f>H11-H26-H55-H60</f>
        <v>0.27</v>
      </c>
      <c r="I64" s="293" t="s">
        <v>206</v>
      </c>
      <c r="J64" s="292" t="e">
        <f>J11-J26-J55-J60</f>
        <v>#DIV/0!</v>
      </c>
      <c r="K64" s="293" t="s">
        <v>815</v>
      </c>
      <c r="L64" s="293"/>
      <c r="M64" s="254"/>
      <c r="AB64" s="194"/>
      <c r="AC64" s="194"/>
    </row>
    <row r="65" spans="1:29" s="5" customFormat="1" ht="21" x14ac:dyDescent="0.4">
      <c r="A65" s="198"/>
      <c r="B65" s="55"/>
      <c r="C65"/>
      <c r="D65"/>
      <c r="E65"/>
      <c r="F65"/>
      <c r="G65"/>
      <c r="H65"/>
      <c r="I65"/>
      <c r="J65"/>
      <c r="K65"/>
      <c r="L65"/>
      <c r="M65"/>
    </row>
    <row r="66" spans="1:29" s="194" customFormat="1" ht="16.2" thickBot="1" x14ac:dyDescent="0.35">
      <c r="A66" s="498"/>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198"/>
      <c r="B67" s="1078" t="s">
        <v>389</v>
      </c>
      <c r="C67" s="1079"/>
      <c r="D67" s="1079"/>
      <c r="E67" s="1080"/>
      <c r="F67"/>
      <c r="G67"/>
      <c r="H67"/>
      <c r="I67"/>
      <c r="J67"/>
      <c r="K67"/>
      <c r="L67" s="1073" t="s">
        <v>241</v>
      </c>
      <c r="M67" s="1073"/>
      <c r="AB67"/>
      <c r="AC67"/>
    </row>
    <row r="68" spans="1:29" s="5" customFormat="1" ht="21" x14ac:dyDescent="0.4">
      <c r="A68" s="198"/>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113</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178</v>
      </c>
      <c r="D71" s="44"/>
      <c r="E71" s="44"/>
      <c r="F71" s="74">
        <v>270</v>
      </c>
      <c r="G71" s="44" t="s">
        <v>8</v>
      </c>
      <c r="H71" s="74">
        <v>0.4</v>
      </c>
      <c r="I71" s="49" t="s">
        <v>206</v>
      </c>
      <c r="J71" s="191">
        <f>F71*H71</f>
        <v>108</v>
      </c>
      <c r="K71" s="44" t="s">
        <v>57</v>
      </c>
      <c r="L71" s="46"/>
      <c r="M71" s="46"/>
      <c r="AB71" s="5"/>
      <c r="AC71" s="5"/>
    </row>
    <row r="72" spans="1:29" ht="13.8" thickBot="1" x14ac:dyDescent="0.3">
      <c r="B72" s="44"/>
      <c r="C72" s="45" t="s">
        <v>823</v>
      </c>
      <c r="D72" s="46"/>
      <c r="E72" s="44"/>
      <c r="F72" s="74"/>
      <c r="G72" s="44" t="s">
        <v>8</v>
      </c>
      <c r="H72" s="74"/>
      <c r="I72" s="49" t="s">
        <v>206</v>
      </c>
      <c r="J72" s="191">
        <f>F72*H72</f>
        <v>0</v>
      </c>
      <c r="K72" s="44" t="s">
        <v>57</v>
      </c>
      <c r="L72" s="44"/>
      <c r="M72" s="46"/>
    </row>
    <row r="73" spans="1:29" s="5" customFormat="1" x14ac:dyDescent="0.25">
      <c r="A73" s="198"/>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198"/>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495"/>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495"/>
      <c r="B77" s="97"/>
      <c r="C77" s="97" t="s">
        <v>824</v>
      </c>
      <c r="D77" s="97"/>
      <c r="E77" s="97"/>
      <c r="F77" s="74">
        <v>370</v>
      </c>
      <c r="G77" s="97" t="s">
        <v>212</v>
      </c>
      <c r="H77" s="77">
        <v>0.41</v>
      </c>
      <c r="I77" s="98" t="s">
        <v>206</v>
      </c>
      <c r="J77" s="100">
        <f t="shared" ref="J77:J78" si="6">F77*H77</f>
        <v>151.69999999999999</v>
      </c>
      <c r="K77" s="97" t="s">
        <v>57</v>
      </c>
      <c r="L77" s="99"/>
      <c r="M77" s="99"/>
      <c r="AB77" s="69"/>
      <c r="AC77" s="69"/>
    </row>
    <row r="78" spans="1:29" ht="15.6" thickBot="1" x14ac:dyDescent="0.3">
      <c r="B78" s="97"/>
      <c r="C78" s="97" t="s">
        <v>741</v>
      </c>
      <c r="D78" s="97"/>
      <c r="E78" s="97"/>
      <c r="F78" s="74"/>
      <c r="G78" s="97" t="s">
        <v>212</v>
      </c>
      <c r="H78" s="77"/>
      <c r="I78" s="98" t="s">
        <v>206</v>
      </c>
      <c r="J78" s="100">
        <f t="shared" si="6"/>
        <v>0</v>
      </c>
      <c r="K78" s="97" t="s">
        <v>57</v>
      </c>
      <c r="L78" s="99"/>
      <c r="M78" s="99"/>
      <c r="N78" s="69"/>
      <c r="O78" s="69"/>
      <c r="P78" s="69"/>
      <c r="Q78" s="69"/>
      <c r="R78" s="69"/>
      <c r="S78" s="69"/>
      <c r="T78" s="69"/>
      <c r="U78" s="69"/>
      <c r="AB78" s="5"/>
      <c r="AC78" s="5"/>
    </row>
    <row r="79" spans="1:29" s="69" customFormat="1" ht="17.399999999999999" x14ac:dyDescent="0.3">
      <c r="A79" s="496"/>
      <c r="B79" s="214"/>
      <c r="C79" s="214" t="s">
        <v>635</v>
      </c>
      <c r="D79" s="214"/>
      <c r="E79" s="214"/>
      <c r="F79" s="214"/>
      <c r="G79" s="214"/>
      <c r="H79" s="214"/>
      <c r="I79" s="215"/>
      <c r="J79" s="216">
        <f>SUM(J77:J78)</f>
        <v>151.69999999999999</v>
      </c>
      <c r="K79" s="214" t="s">
        <v>57</v>
      </c>
      <c r="L79" s="214"/>
      <c r="M79" s="214"/>
      <c r="N79" s="56"/>
      <c r="O79" s="56"/>
      <c r="P79" s="56"/>
      <c r="Q79" s="56"/>
      <c r="R79" s="56"/>
      <c r="S79" s="56"/>
      <c r="T79" s="56"/>
      <c r="U79" s="56"/>
      <c r="AB79" s="5"/>
      <c r="AC79" s="5"/>
    </row>
    <row r="80" spans="1:29" s="5" customFormat="1" x14ac:dyDescent="0.25">
      <c r="A80" s="198"/>
      <c r="B80" s="97"/>
      <c r="C80" s="97"/>
      <c r="D80" s="97"/>
      <c r="E80" s="97"/>
      <c r="F80" s="97"/>
      <c r="G80" s="97"/>
      <c r="H80" s="97"/>
      <c r="I80" s="98"/>
      <c r="J80" s="100"/>
      <c r="K80" s="97"/>
      <c r="L80" s="99"/>
      <c r="M80" s="99"/>
      <c r="N80"/>
      <c r="O80"/>
      <c r="P80"/>
      <c r="Q80"/>
      <c r="R80"/>
      <c r="S80"/>
      <c r="T80"/>
      <c r="U80"/>
    </row>
    <row r="81" spans="1:29" s="5" customFormat="1" ht="15" x14ac:dyDescent="0.25">
      <c r="A81" s="198"/>
      <c r="B81"/>
      <c r="C81"/>
      <c r="D81"/>
      <c r="E81"/>
      <c r="F81"/>
      <c r="G81"/>
      <c r="H81"/>
      <c r="I81"/>
      <c r="J81"/>
      <c r="K81"/>
      <c r="L81"/>
      <c r="M81"/>
      <c r="N81" s="69"/>
      <c r="O81" s="69"/>
      <c r="P81" s="69"/>
      <c r="Q81" s="69"/>
      <c r="R81" s="69"/>
      <c r="S81" s="69"/>
      <c r="T81" s="69"/>
      <c r="U81" s="69"/>
      <c r="AB81"/>
      <c r="AC81"/>
    </row>
    <row r="82" spans="1:29" s="5" customFormat="1" ht="15.6" x14ac:dyDescent="0.3">
      <c r="A82" s="198"/>
      <c r="B82" s="85" t="s">
        <v>252</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x14ac:dyDescent="0.25">
      <c r="B85" s="171" t="s">
        <v>254</v>
      </c>
      <c r="C85" s="51"/>
      <c r="D85" s="51"/>
      <c r="E85" s="51"/>
      <c r="F85" s="53"/>
      <c r="G85" s="53"/>
      <c r="H85" s="52"/>
      <c r="I85" s="52"/>
      <c r="J85" s="58"/>
      <c r="K85" s="58"/>
      <c r="L85" s="58"/>
      <c r="M85" s="58"/>
    </row>
    <row r="86" spans="1:29" ht="13.8" thickBot="1" x14ac:dyDescent="0.3">
      <c r="B86" s="171"/>
      <c r="C86" s="51"/>
      <c r="D86" s="51"/>
      <c r="E86" s="51"/>
      <c r="F86" s="53"/>
      <c r="G86" s="53"/>
      <c r="H86" s="52"/>
      <c r="I86" s="52"/>
      <c r="J86" s="58"/>
      <c r="K86" s="58"/>
      <c r="L86" s="58"/>
      <c r="M86" s="58"/>
    </row>
    <row r="87" spans="1:29" ht="13.8" thickBot="1" x14ac:dyDescent="0.3">
      <c r="B87" s="51"/>
      <c r="C87" s="51" t="s">
        <v>825</v>
      </c>
      <c r="D87" s="58"/>
      <c r="E87" s="51"/>
      <c r="F87" s="95">
        <v>0.8</v>
      </c>
      <c r="G87" s="53" t="s">
        <v>256</v>
      </c>
      <c r="H87" s="77">
        <v>15.32</v>
      </c>
      <c r="I87" s="52" t="s">
        <v>257</v>
      </c>
      <c r="J87" s="463">
        <f t="shared" ref="J87:J91" si="7">F87*H87</f>
        <v>12.256</v>
      </c>
      <c r="K87" s="51" t="s">
        <v>57</v>
      </c>
      <c r="L87" s="58"/>
      <c r="M87" s="58"/>
    </row>
    <row r="88" spans="1:29" ht="13.8" thickBot="1" x14ac:dyDescent="0.3">
      <c r="B88" s="51"/>
      <c r="C88" s="51" t="s">
        <v>826</v>
      </c>
      <c r="D88" s="51"/>
      <c r="E88" s="51"/>
      <c r="F88" s="95">
        <v>7.5</v>
      </c>
      <c r="G88" s="53" t="s">
        <v>260</v>
      </c>
      <c r="H88" s="77">
        <v>2.15</v>
      </c>
      <c r="I88" s="52" t="s">
        <v>261</v>
      </c>
      <c r="J88" s="463">
        <f t="shared" si="7"/>
        <v>16.125</v>
      </c>
      <c r="K88" s="51" t="s">
        <v>57</v>
      </c>
      <c r="L88" s="58"/>
      <c r="M88" s="58"/>
    </row>
    <row r="89" spans="1:29" ht="13.8" thickBot="1" x14ac:dyDescent="0.3">
      <c r="B89" s="51"/>
      <c r="C89" s="51" t="s">
        <v>827</v>
      </c>
      <c r="D89" s="51"/>
      <c r="E89" s="51"/>
      <c r="F89" s="95">
        <v>0.3</v>
      </c>
      <c r="G89" s="53" t="s">
        <v>260</v>
      </c>
      <c r="H89" s="77">
        <v>42.34</v>
      </c>
      <c r="I89" s="52" t="s">
        <v>257</v>
      </c>
      <c r="J89" s="463">
        <f t="shared" ref="J89:J90" si="8">F89*H89</f>
        <v>12.702</v>
      </c>
      <c r="K89" s="51" t="s">
        <v>57</v>
      </c>
      <c r="L89" s="58"/>
      <c r="M89" s="58"/>
    </row>
    <row r="90" spans="1:29" ht="13.8" thickBot="1" x14ac:dyDescent="0.3">
      <c r="B90" s="51"/>
      <c r="C90" s="51" t="s">
        <v>265</v>
      </c>
      <c r="D90" s="51"/>
      <c r="E90" s="51"/>
      <c r="F90" s="95"/>
      <c r="G90" s="53" t="s">
        <v>256</v>
      </c>
      <c r="H90" s="77"/>
      <c r="I90" s="52" t="s">
        <v>257</v>
      </c>
      <c r="J90" s="463">
        <f t="shared" si="8"/>
        <v>0</v>
      </c>
      <c r="K90" s="51" t="s">
        <v>57</v>
      </c>
      <c r="L90" s="58"/>
      <c r="M90" s="58"/>
    </row>
    <row r="91" spans="1:29" ht="13.8" thickBot="1" x14ac:dyDescent="0.3">
      <c r="B91" s="51"/>
      <c r="C91" s="51" t="s">
        <v>265</v>
      </c>
      <c r="D91" s="51"/>
      <c r="E91" s="51"/>
      <c r="F91" s="95"/>
      <c r="G91" s="53" t="s">
        <v>256</v>
      </c>
      <c r="H91" s="77"/>
      <c r="I91" s="52" t="s">
        <v>257</v>
      </c>
      <c r="J91" s="463">
        <f t="shared" si="7"/>
        <v>0</v>
      </c>
      <c r="K91" s="51" t="s">
        <v>57</v>
      </c>
      <c r="L91" s="58"/>
      <c r="M91" s="58"/>
    </row>
    <row r="92" spans="1:29" x14ac:dyDescent="0.25">
      <c r="B92" s="51"/>
      <c r="C92" s="51"/>
      <c r="D92" s="51"/>
      <c r="E92" s="51"/>
      <c r="F92" s="53"/>
      <c r="G92" s="53"/>
      <c r="H92" s="52"/>
      <c r="I92" s="52"/>
      <c r="J92" s="58"/>
      <c r="K92" s="51"/>
      <c r="L92" s="58"/>
      <c r="M92" s="58"/>
    </row>
    <row r="93" spans="1:29" ht="13.8" thickBot="1" x14ac:dyDescent="0.3">
      <c r="B93" s="171" t="s">
        <v>266</v>
      </c>
      <c r="C93" s="51"/>
      <c r="D93" s="51"/>
      <c r="E93" s="51"/>
      <c r="F93" s="53"/>
      <c r="G93" s="53"/>
      <c r="H93" s="52"/>
      <c r="I93" s="52"/>
      <c r="J93" s="58"/>
      <c r="K93" s="51"/>
      <c r="L93" s="58"/>
      <c r="M93" s="58"/>
    </row>
    <row r="94" spans="1:29" ht="13.8" thickBot="1" x14ac:dyDescent="0.3">
      <c r="B94" s="51"/>
      <c r="C94" s="51" t="s">
        <v>267</v>
      </c>
      <c r="D94" s="51"/>
      <c r="E94" s="51"/>
      <c r="F94" s="95"/>
      <c r="G94" s="53" t="s">
        <v>256</v>
      </c>
      <c r="H94" s="95"/>
      <c r="I94" s="52" t="s">
        <v>257</v>
      </c>
      <c r="J94" s="58">
        <f t="shared" ref="J94:J96" si="9">F94*H94</f>
        <v>0</v>
      </c>
      <c r="K94" s="51" t="s">
        <v>57</v>
      </c>
      <c r="L94" s="58"/>
      <c r="M94" s="58"/>
    </row>
    <row r="95" spans="1:29" ht="13.8" thickBot="1" x14ac:dyDescent="0.3">
      <c r="B95" s="51"/>
      <c r="C95" s="51" t="s">
        <v>267</v>
      </c>
      <c r="D95" s="51"/>
      <c r="E95" s="51"/>
      <c r="F95" s="95"/>
      <c r="G95" s="53" t="s">
        <v>256</v>
      </c>
      <c r="H95" s="95"/>
      <c r="I95" s="52" t="s">
        <v>257</v>
      </c>
      <c r="J95" s="58">
        <f t="shared" si="9"/>
        <v>0</v>
      </c>
      <c r="K95" s="51" t="s">
        <v>57</v>
      </c>
      <c r="L95" s="58"/>
      <c r="M95" s="58"/>
      <c r="AB95" s="5"/>
      <c r="AC95" s="5"/>
    </row>
    <row r="96" spans="1:29" ht="13.8" thickBot="1" x14ac:dyDescent="0.3">
      <c r="B96" s="51"/>
      <c r="C96" s="51" t="s">
        <v>267</v>
      </c>
      <c r="D96" s="51"/>
      <c r="E96" s="51"/>
      <c r="F96" s="95"/>
      <c r="G96" s="53" t="s">
        <v>256</v>
      </c>
      <c r="H96" s="95"/>
      <c r="I96" s="52" t="s">
        <v>257</v>
      </c>
      <c r="J96" s="58">
        <f t="shared" si="9"/>
        <v>0</v>
      </c>
      <c r="K96" s="51" t="s">
        <v>57</v>
      </c>
      <c r="L96" s="58"/>
      <c r="M96" s="58"/>
    </row>
    <row r="97" spans="1:29" s="5" customFormat="1" x14ac:dyDescent="0.25">
      <c r="A97" s="198"/>
      <c r="B97" s="195"/>
      <c r="C97" s="195" t="s">
        <v>54</v>
      </c>
      <c r="D97" s="195"/>
      <c r="E97" s="195"/>
      <c r="F97" s="196"/>
      <c r="G97" s="196"/>
      <c r="H97" s="196"/>
      <c r="I97" s="197"/>
      <c r="J97" s="197">
        <f>SUM(J87:J96)</f>
        <v>41.082999999999998</v>
      </c>
      <c r="K97" s="195" t="s">
        <v>57</v>
      </c>
      <c r="L97" s="195"/>
      <c r="M97" s="195"/>
      <c r="AB97"/>
      <c r="AC97"/>
    </row>
    <row r="98" spans="1:29" x14ac:dyDescent="0.25">
      <c r="B98" s="51"/>
      <c r="C98" s="51"/>
      <c r="D98" s="51"/>
      <c r="E98" s="51"/>
      <c r="F98" s="53"/>
      <c r="G98" s="53"/>
      <c r="H98" s="52"/>
      <c r="I98" s="52"/>
      <c r="J98" s="58"/>
      <c r="K98" s="51"/>
      <c r="L98" s="58"/>
      <c r="M98" s="58"/>
    </row>
    <row r="99" spans="1:29" x14ac:dyDescent="0.25">
      <c r="A99" s="499"/>
    </row>
    <row r="100" spans="1:29" ht="15.6" x14ac:dyDescent="0.3">
      <c r="A100" s="499"/>
      <c r="B100" s="176" t="s">
        <v>275</v>
      </c>
      <c r="C100" s="177"/>
      <c r="D100" s="177"/>
      <c r="E100" s="177"/>
      <c r="F100" s="1067" t="s">
        <v>114</v>
      </c>
      <c r="G100" s="1067"/>
      <c r="H100" s="1067" t="s">
        <v>113</v>
      </c>
      <c r="I100" s="1067"/>
      <c r="J100" s="1067" t="s">
        <v>243</v>
      </c>
      <c r="K100" s="1067"/>
      <c r="L100" s="179"/>
      <c r="M100" s="179"/>
    </row>
    <row r="101" spans="1:29" ht="13.8" thickBot="1" x14ac:dyDescent="0.3">
      <c r="A101" s="499"/>
      <c r="B101" s="177"/>
      <c r="C101" s="177"/>
      <c r="D101" s="177"/>
      <c r="E101" s="177"/>
      <c r="F101" s="177"/>
      <c r="G101" s="177"/>
      <c r="H101" s="178"/>
      <c r="I101" s="178"/>
      <c r="J101" s="179"/>
      <c r="K101" s="179"/>
      <c r="L101" s="179"/>
      <c r="M101" s="179"/>
    </row>
    <row r="102" spans="1:29" ht="13.8" thickBot="1" x14ac:dyDescent="0.3">
      <c r="A102" s="499"/>
      <c r="B102" s="177"/>
      <c r="C102" s="177" t="s">
        <v>828</v>
      </c>
      <c r="D102" s="179"/>
      <c r="E102" s="177"/>
      <c r="F102" s="74">
        <f>'Gårdens info'!D37</f>
        <v>0</v>
      </c>
      <c r="G102" s="177" t="s">
        <v>7</v>
      </c>
      <c r="H102" s="77">
        <v>80</v>
      </c>
      <c r="I102" s="178" t="s">
        <v>57</v>
      </c>
      <c r="J102" s="180">
        <f t="shared" ref="J102:J105" si="10">F102*H102</f>
        <v>0</v>
      </c>
      <c r="K102" s="177" t="s">
        <v>57</v>
      </c>
      <c r="L102" s="179"/>
      <c r="M102" s="179"/>
    </row>
    <row r="103" spans="1:29" ht="13.8" thickBot="1" x14ac:dyDescent="0.3">
      <c r="A103" s="499"/>
      <c r="B103" s="177"/>
      <c r="C103" s="177" t="s">
        <v>829</v>
      </c>
      <c r="D103" s="179"/>
      <c r="E103" s="177"/>
      <c r="F103" s="74">
        <f>'Gårdens info'!D38</f>
        <v>0</v>
      </c>
      <c r="G103" s="177" t="s">
        <v>7</v>
      </c>
      <c r="H103" s="76">
        <f>45*7</f>
        <v>315</v>
      </c>
      <c r="I103" s="178" t="s">
        <v>57</v>
      </c>
      <c r="J103" s="180">
        <f t="shared" ref="J103" si="11">F103*H103</f>
        <v>0</v>
      </c>
      <c r="K103" s="177" t="s">
        <v>57</v>
      </c>
      <c r="L103" s="179"/>
      <c r="M103" s="179"/>
    </row>
    <row r="104" spans="1:29" ht="13.8" thickBot="1" x14ac:dyDescent="0.3">
      <c r="B104" s="177"/>
      <c r="C104" s="177" t="s">
        <v>276</v>
      </c>
      <c r="D104" s="177"/>
      <c r="E104" s="177"/>
      <c r="F104" s="74"/>
      <c r="G104" s="177" t="s">
        <v>7</v>
      </c>
      <c r="H104" s="77"/>
      <c r="I104" s="178" t="s">
        <v>57</v>
      </c>
      <c r="J104" s="180">
        <f t="shared" si="10"/>
        <v>0</v>
      </c>
      <c r="K104" s="177" t="s">
        <v>57</v>
      </c>
      <c r="L104" s="179"/>
      <c r="M104" s="179"/>
      <c r="AB104" s="5"/>
      <c r="AC104" s="5"/>
    </row>
    <row r="105" spans="1:29" ht="13.8" thickBot="1" x14ac:dyDescent="0.3">
      <c r="B105" s="177"/>
      <c r="C105" s="177" t="s">
        <v>276</v>
      </c>
      <c r="D105" s="177"/>
      <c r="E105" s="177"/>
      <c r="F105" s="74"/>
      <c r="G105" s="177" t="s">
        <v>7</v>
      </c>
      <c r="H105" s="77"/>
      <c r="I105" s="178" t="s">
        <v>57</v>
      </c>
      <c r="J105" s="180">
        <f t="shared" si="10"/>
        <v>0</v>
      </c>
      <c r="K105" s="177" t="s">
        <v>57</v>
      </c>
      <c r="L105" s="179"/>
      <c r="M105" s="179"/>
    </row>
    <row r="106" spans="1:29" s="5" customFormat="1" x14ac:dyDescent="0.25">
      <c r="A106" s="198"/>
      <c r="B106" s="204"/>
      <c r="C106" s="204" t="s">
        <v>54</v>
      </c>
      <c r="D106" s="204"/>
      <c r="E106" s="204"/>
      <c r="F106" s="204"/>
      <c r="G106" s="204"/>
      <c r="H106" s="205"/>
      <c r="I106" s="205"/>
      <c r="J106" s="206">
        <f>SUM(J102:J105)</f>
        <v>0</v>
      </c>
      <c r="K106" s="204" t="s">
        <v>57</v>
      </c>
      <c r="L106" s="204"/>
      <c r="M106" s="204"/>
      <c r="N106"/>
      <c r="O106"/>
      <c r="P106"/>
      <c r="Q106"/>
      <c r="R106"/>
      <c r="S106"/>
      <c r="T106"/>
      <c r="U106"/>
      <c r="AB106"/>
      <c r="AC106"/>
    </row>
    <row r="107" spans="1:29" x14ac:dyDescent="0.25">
      <c r="B107" s="177"/>
      <c r="C107" s="177"/>
      <c r="D107" s="177"/>
      <c r="E107" s="177"/>
      <c r="F107" s="177"/>
      <c r="G107" s="177"/>
      <c r="H107" s="178"/>
      <c r="I107" s="178"/>
      <c r="J107" s="180"/>
      <c r="K107" s="177"/>
      <c r="L107" s="179"/>
      <c r="M107" s="179"/>
    </row>
    <row r="108" spans="1:29" ht="30" customHeight="1" x14ac:dyDescent="0.25">
      <c r="N108" s="5"/>
      <c r="O108" s="5"/>
      <c r="P108" s="5"/>
      <c r="Q108" s="5"/>
      <c r="R108" s="5"/>
      <c r="S108" s="5"/>
      <c r="T108" s="5"/>
      <c r="U108" s="5"/>
    </row>
    <row r="109" spans="1:29" ht="15.6" x14ac:dyDescent="0.3">
      <c r="B109" s="181" t="s">
        <v>830</v>
      </c>
      <c r="C109" s="182"/>
      <c r="D109" s="182"/>
      <c r="E109" s="183"/>
      <c r="F109" s="182" t="s">
        <v>114</v>
      </c>
      <c r="G109" s="184"/>
      <c r="H109" s="184" t="s">
        <v>113</v>
      </c>
      <c r="I109" s="182"/>
      <c r="J109" s="182" t="s">
        <v>243</v>
      </c>
      <c r="K109" s="185"/>
      <c r="L109" s="185"/>
      <c r="M109" s="185"/>
    </row>
    <row r="110" spans="1:29" ht="16.2" thickBot="1" x14ac:dyDescent="0.35">
      <c r="B110" s="181"/>
      <c r="C110" s="182"/>
      <c r="D110" s="182"/>
      <c r="E110" s="183"/>
      <c r="F110" s="182"/>
      <c r="G110" s="184"/>
      <c r="H110" s="184"/>
      <c r="I110" s="182"/>
      <c r="J110" s="182"/>
      <c r="K110" s="185"/>
      <c r="L110" s="185"/>
      <c r="M110" s="185"/>
    </row>
    <row r="111" spans="1:29" ht="13.8" thickBot="1" x14ac:dyDescent="0.3">
      <c r="B111" s="182"/>
      <c r="C111" s="182" t="s">
        <v>278</v>
      </c>
      <c r="D111" s="185"/>
      <c r="E111" s="186"/>
      <c r="F111" s="74"/>
      <c r="G111" s="187" t="s">
        <v>279</v>
      </c>
      <c r="H111" s="74"/>
      <c r="I111" s="188" t="s">
        <v>280</v>
      </c>
      <c r="J111" s="185">
        <f>H111*F111</f>
        <v>0</v>
      </c>
      <c r="K111" s="188" t="s">
        <v>57</v>
      </c>
      <c r="L111" s="185"/>
      <c r="M111" s="185"/>
    </row>
    <row r="112" spans="1:29" ht="13.8" thickBot="1" x14ac:dyDescent="0.3">
      <c r="B112" s="182"/>
      <c r="C112" s="182" t="s">
        <v>698</v>
      </c>
      <c r="D112" s="188">
        <f>F134/2</f>
        <v>4.5</v>
      </c>
      <c r="E112" s="182" t="s">
        <v>282</v>
      </c>
      <c r="F112" s="74">
        <f>+D112*8</f>
        <v>36</v>
      </c>
      <c r="G112" s="184" t="s">
        <v>256</v>
      </c>
      <c r="H112" s="74">
        <v>0.83</v>
      </c>
      <c r="I112" s="188" t="s">
        <v>257</v>
      </c>
      <c r="J112" s="185">
        <f>H112*F112</f>
        <v>29.88</v>
      </c>
      <c r="K112" s="188" t="s">
        <v>57</v>
      </c>
      <c r="L112" s="185"/>
      <c r="M112" s="185"/>
    </row>
    <row r="113" spans="1:29" ht="13.8" thickBot="1" x14ac:dyDescent="0.3">
      <c r="B113" s="182"/>
      <c r="C113" s="182" t="s">
        <v>686</v>
      </c>
      <c r="D113" s="188">
        <f>D112</f>
        <v>4.5</v>
      </c>
      <c r="E113" s="182" t="s">
        <v>282</v>
      </c>
      <c r="F113" s="74">
        <v>11.88</v>
      </c>
      <c r="G113" s="184" t="s">
        <v>212</v>
      </c>
      <c r="H113" s="74">
        <v>4</v>
      </c>
      <c r="I113" s="188" t="s">
        <v>206</v>
      </c>
      <c r="J113" s="185">
        <f t="shared" ref="J113:J117" si="12">H113*F113</f>
        <v>47.52</v>
      </c>
      <c r="K113" s="188" t="s">
        <v>57</v>
      </c>
      <c r="L113" s="185"/>
      <c r="M113" s="185"/>
    </row>
    <row r="114" spans="1:29" ht="13.8" thickBot="1" x14ac:dyDescent="0.3">
      <c r="B114" s="182"/>
      <c r="C114" s="182" t="s">
        <v>284</v>
      </c>
      <c r="D114" s="185"/>
      <c r="E114" s="188"/>
      <c r="F114" s="74"/>
      <c r="G114" s="184" t="s">
        <v>256</v>
      </c>
      <c r="H114" s="74"/>
      <c r="I114" s="188" t="s">
        <v>257</v>
      </c>
      <c r="J114" s="185">
        <f t="shared" si="12"/>
        <v>0</v>
      </c>
      <c r="K114" s="188" t="s">
        <v>57</v>
      </c>
      <c r="L114" s="185"/>
      <c r="M114" s="185"/>
    </row>
    <row r="115" spans="1:29" ht="13.8" thickBot="1" x14ac:dyDescent="0.3">
      <c r="B115" s="182"/>
      <c r="C115" s="182" t="s">
        <v>286</v>
      </c>
      <c r="D115" s="185"/>
      <c r="E115" s="188"/>
      <c r="F115" s="74"/>
      <c r="G115" s="184" t="s">
        <v>256</v>
      </c>
      <c r="H115" s="74"/>
      <c r="I115" s="188" t="s">
        <v>257</v>
      </c>
      <c r="J115" s="185">
        <f t="shared" si="12"/>
        <v>0</v>
      </c>
      <c r="K115" s="188" t="s">
        <v>57</v>
      </c>
      <c r="L115" s="185"/>
      <c r="M115" s="185"/>
    </row>
    <row r="116" spans="1:29" ht="13.8" thickBot="1" x14ac:dyDescent="0.3">
      <c r="B116" s="182"/>
      <c r="C116" s="182" t="s">
        <v>286</v>
      </c>
      <c r="D116" s="185"/>
      <c r="E116" s="188"/>
      <c r="F116" s="74"/>
      <c r="G116" s="184"/>
      <c r="H116" s="74"/>
      <c r="I116" s="188"/>
      <c r="J116" s="185">
        <f t="shared" si="12"/>
        <v>0</v>
      </c>
      <c r="K116" s="188" t="s">
        <v>57</v>
      </c>
      <c r="L116" s="185"/>
      <c r="M116" s="185"/>
      <c r="AB116" s="5"/>
      <c r="AC116" s="5"/>
    </row>
    <row r="117" spans="1:29" ht="13.8" thickBot="1" x14ac:dyDescent="0.3">
      <c r="B117" s="185"/>
      <c r="C117" s="182" t="s">
        <v>286</v>
      </c>
      <c r="D117" s="185"/>
      <c r="E117" s="185"/>
      <c r="F117" s="74"/>
      <c r="G117" s="185"/>
      <c r="H117" s="74"/>
      <c r="I117" s="185"/>
      <c r="J117" s="185">
        <f t="shared" si="12"/>
        <v>0</v>
      </c>
      <c r="K117" s="188" t="s">
        <v>57</v>
      </c>
      <c r="L117" s="185"/>
      <c r="M117" s="185"/>
    </row>
    <row r="118" spans="1:29" s="5" customFormat="1" x14ac:dyDescent="0.25">
      <c r="A118" s="198"/>
      <c r="B118" s="207"/>
      <c r="C118" s="207" t="s">
        <v>54</v>
      </c>
      <c r="D118" s="207"/>
      <c r="E118" s="207"/>
      <c r="F118" s="207"/>
      <c r="G118" s="207"/>
      <c r="H118" s="207"/>
      <c r="I118" s="207"/>
      <c r="J118" s="207">
        <f>SUM(J111:J117)</f>
        <v>77.400000000000006</v>
      </c>
      <c r="K118" s="208" t="s">
        <v>57</v>
      </c>
      <c r="L118" s="207"/>
      <c r="M118" s="207"/>
      <c r="AB118"/>
      <c r="AC118"/>
    </row>
    <row r="119" spans="1:29" x14ac:dyDescent="0.25">
      <c r="B119" s="185"/>
      <c r="C119" s="185"/>
      <c r="D119" s="185"/>
      <c r="E119" s="185"/>
      <c r="F119" s="185"/>
      <c r="G119" s="185"/>
      <c r="H119" s="185"/>
      <c r="I119" s="185"/>
      <c r="J119" s="185"/>
      <c r="K119" s="185"/>
      <c r="L119" s="185"/>
      <c r="M119" s="185"/>
    </row>
    <row r="121" spans="1:29" ht="15.6" x14ac:dyDescent="0.3">
      <c r="B121" s="88" t="s">
        <v>287</v>
      </c>
      <c r="C121" s="79"/>
      <c r="D121" s="79"/>
      <c r="E121" s="79"/>
      <c r="F121" s="79"/>
      <c r="G121" s="79"/>
      <c r="H121" s="79"/>
      <c r="I121" s="79"/>
      <c r="J121" s="79"/>
      <c r="K121" s="79"/>
      <c r="L121" s="79"/>
      <c r="M121" s="79"/>
    </row>
    <row r="122" spans="1:29" ht="15.6" x14ac:dyDescent="0.3">
      <c r="B122" s="88"/>
      <c r="C122" s="79"/>
      <c r="D122" s="79"/>
      <c r="E122" s="79"/>
      <c r="F122" s="79"/>
      <c r="G122" s="79"/>
      <c r="H122" s="79"/>
      <c r="I122" s="79"/>
      <c r="J122" s="79"/>
      <c r="K122" s="79"/>
      <c r="L122" s="79"/>
      <c r="M122" s="79"/>
      <c r="AB122" s="5"/>
      <c r="AC122" s="5"/>
    </row>
    <row r="123" spans="1:29" ht="15" customHeight="1" x14ac:dyDescent="0.25">
      <c r="B123" s="1096" t="s">
        <v>699</v>
      </c>
      <c r="C123" s="1096"/>
      <c r="D123" s="1096"/>
      <c r="E123" s="1096"/>
      <c r="F123" s="1096"/>
      <c r="G123" s="1096"/>
      <c r="H123" s="1096"/>
      <c r="I123" s="1096"/>
      <c r="J123" s="1096"/>
      <c r="K123" s="1096"/>
      <c r="L123" s="1096"/>
      <c r="M123" s="1096"/>
    </row>
    <row r="124" spans="1:29" s="5" customFormat="1" ht="15.6" x14ac:dyDescent="0.3">
      <c r="A124" s="198"/>
      <c r="B124" s="88"/>
      <c r="C124" s="79"/>
      <c r="D124" s="79"/>
      <c r="E124" s="83"/>
      <c r="F124" s="83"/>
      <c r="G124" s="83"/>
      <c r="H124" s="84"/>
      <c r="I124" s="84"/>
      <c r="J124" s="83"/>
      <c r="K124" s="83"/>
      <c r="L124" s="84"/>
      <c r="M124" s="84"/>
      <c r="N124"/>
      <c r="O124"/>
      <c r="P124"/>
      <c r="Q124"/>
      <c r="R124"/>
      <c r="S124"/>
      <c r="T124"/>
      <c r="U124"/>
      <c r="AB124"/>
      <c r="AC124"/>
    </row>
    <row r="125" spans="1:29" ht="15.6" x14ac:dyDescent="0.3">
      <c r="B125" s="88"/>
      <c r="C125" s="79"/>
      <c r="D125" s="79"/>
      <c r="E125" s="1069" t="s">
        <v>290</v>
      </c>
      <c r="F125" s="1069"/>
      <c r="G125" s="1069"/>
      <c r="H125" s="1070" t="s">
        <v>113</v>
      </c>
      <c r="I125" s="1070"/>
      <c r="J125" s="1069" t="s">
        <v>291</v>
      </c>
      <c r="K125" s="1069"/>
      <c r="L125" s="1070" t="s">
        <v>113</v>
      </c>
      <c r="M125" s="1070"/>
    </row>
    <row r="126" spans="1:29" ht="33" customHeight="1" thickBot="1" x14ac:dyDescent="0.3">
      <c r="B126" s="78"/>
      <c r="C126" s="79"/>
      <c r="D126" s="79"/>
      <c r="E126" s="79"/>
      <c r="F126" s="79"/>
      <c r="G126" s="79"/>
      <c r="H126" s="79"/>
      <c r="I126" s="79"/>
      <c r="J126" s="79"/>
      <c r="K126" s="79"/>
      <c r="L126" s="79"/>
      <c r="M126" s="79"/>
      <c r="N126" s="5"/>
      <c r="O126" s="5"/>
      <c r="P126" s="5"/>
      <c r="Q126" s="5"/>
      <c r="R126" s="5"/>
      <c r="S126" s="5"/>
      <c r="T126" s="5"/>
      <c r="U126" s="5"/>
    </row>
    <row r="127" spans="1:29" ht="13.8" thickBot="1" x14ac:dyDescent="0.3">
      <c r="B127" s="79"/>
      <c r="C127" s="80" t="s">
        <v>292</v>
      </c>
      <c r="D127" s="79"/>
      <c r="E127" s="79"/>
      <c r="F127" s="91">
        <v>2</v>
      </c>
      <c r="G127" s="82" t="s">
        <v>293</v>
      </c>
      <c r="H127" s="93">
        <v>14.5</v>
      </c>
      <c r="I127" s="82" t="s">
        <v>294</v>
      </c>
      <c r="J127" s="92"/>
      <c r="K127" s="82" t="s">
        <v>293</v>
      </c>
      <c r="L127" s="93">
        <v>14.5</v>
      </c>
      <c r="M127" s="82" t="s">
        <v>294</v>
      </c>
    </row>
    <row r="128" spans="1:29" ht="13.8" thickBot="1" x14ac:dyDescent="0.3">
      <c r="B128" s="79"/>
      <c r="C128" s="80" t="s">
        <v>831</v>
      </c>
      <c r="D128" s="79"/>
      <c r="E128" s="79"/>
      <c r="F128" s="91">
        <v>3</v>
      </c>
      <c r="G128" s="82" t="s">
        <v>293</v>
      </c>
      <c r="H128" s="90">
        <f t="shared" ref="H128:H133" si="13">$H$127</f>
        <v>14.5</v>
      </c>
      <c r="I128" s="82" t="s">
        <v>294</v>
      </c>
      <c r="J128" s="92"/>
      <c r="K128" s="82" t="s">
        <v>293</v>
      </c>
      <c r="L128" s="90">
        <f t="shared" ref="L128:L133" si="14">$L$127</f>
        <v>14.5</v>
      </c>
      <c r="M128" s="82" t="s">
        <v>294</v>
      </c>
    </row>
    <row r="129" spans="2:21" ht="13.8" thickBot="1" x14ac:dyDescent="0.3">
      <c r="B129" s="79"/>
      <c r="C129" s="80" t="s">
        <v>381</v>
      </c>
      <c r="D129" s="79"/>
      <c r="E129" s="79"/>
      <c r="F129" s="91">
        <v>2</v>
      </c>
      <c r="G129" s="82" t="s">
        <v>293</v>
      </c>
      <c r="H129" s="90">
        <f t="shared" si="13"/>
        <v>14.5</v>
      </c>
      <c r="I129" s="82" t="s">
        <v>294</v>
      </c>
      <c r="J129" s="92"/>
      <c r="K129" s="82" t="s">
        <v>293</v>
      </c>
      <c r="L129" s="90">
        <f t="shared" si="14"/>
        <v>14.5</v>
      </c>
      <c r="M129" s="82" t="s">
        <v>294</v>
      </c>
    </row>
    <row r="130" spans="2:21" ht="13.8" thickBot="1" x14ac:dyDescent="0.3">
      <c r="B130" s="79"/>
      <c r="C130" s="80" t="s">
        <v>832</v>
      </c>
      <c r="D130" s="79"/>
      <c r="E130" s="79"/>
      <c r="F130" s="91">
        <v>2</v>
      </c>
      <c r="G130" s="82" t="s">
        <v>293</v>
      </c>
      <c r="H130" s="90">
        <f t="shared" si="13"/>
        <v>14.5</v>
      </c>
      <c r="I130" s="82" t="s">
        <v>294</v>
      </c>
      <c r="J130" s="92"/>
      <c r="K130" s="82" t="s">
        <v>293</v>
      </c>
      <c r="L130" s="90">
        <f t="shared" si="14"/>
        <v>14.5</v>
      </c>
      <c r="M130" s="82" t="s">
        <v>294</v>
      </c>
    </row>
    <row r="131" spans="2:21" ht="13.8" thickBot="1" x14ac:dyDescent="0.3">
      <c r="B131" s="79"/>
      <c r="C131" s="80" t="s">
        <v>431</v>
      </c>
      <c r="D131" s="79"/>
      <c r="E131" s="79"/>
      <c r="F131" s="92"/>
      <c r="G131" s="82" t="s">
        <v>293</v>
      </c>
      <c r="H131" s="90">
        <f t="shared" si="13"/>
        <v>14.5</v>
      </c>
      <c r="I131" s="82" t="s">
        <v>294</v>
      </c>
      <c r="J131" s="75"/>
      <c r="K131" s="82" t="s">
        <v>293</v>
      </c>
      <c r="L131" s="90">
        <f t="shared" si="14"/>
        <v>14.5</v>
      </c>
      <c r="M131" s="82" t="s">
        <v>294</v>
      </c>
    </row>
    <row r="132" spans="2:21" ht="13.8" thickBot="1" x14ac:dyDescent="0.3">
      <c r="B132" s="79"/>
      <c r="C132" s="80" t="s">
        <v>431</v>
      </c>
      <c r="D132" s="79"/>
      <c r="E132" s="79"/>
      <c r="F132" s="92"/>
      <c r="G132" s="82" t="s">
        <v>293</v>
      </c>
      <c r="H132" s="90">
        <f t="shared" si="13"/>
        <v>14.5</v>
      </c>
      <c r="I132" s="82" t="s">
        <v>294</v>
      </c>
      <c r="J132" s="75"/>
      <c r="K132" s="82" t="s">
        <v>293</v>
      </c>
      <c r="L132" s="90">
        <f t="shared" si="14"/>
        <v>14.5</v>
      </c>
      <c r="M132" s="82" t="s">
        <v>294</v>
      </c>
    </row>
    <row r="133" spans="2:21" ht="13.8" thickBot="1" x14ac:dyDescent="0.3">
      <c r="B133" s="79"/>
      <c r="C133" s="80" t="s">
        <v>431</v>
      </c>
      <c r="D133" s="81"/>
      <c r="E133" s="81"/>
      <c r="F133" s="75"/>
      <c r="G133" s="82" t="s">
        <v>293</v>
      </c>
      <c r="H133" s="90">
        <f t="shared" si="13"/>
        <v>14.5</v>
      </c>
      <c r="I133" s="82" t="s">
        <v>294</v>
      </c>
      <c r="J133" s="75"/>
      <c r="K133" s="82" t="s">
        <v>293</v>
      </c>
      <c r="L133" s="90">
        <f t="shared" si="14"/>
        <v>14.5</v>
      </c>
      <c r="M133" s="82" t="s">
        <v>294</v>
      </c>
    </row>
    <row r="134" spans="2:21" x14ac:dyDescent="0.25">
      <c r="B134" s="209"/>
      <c r="C134" s="210" t="s">
        <v>54</v>
      </c>
      <c r="D134" s="211"/>
      <c r="E134" s="211"/>
      <c r="F134" s="212">
        <f>SUM(F127:F133)</f>
        <v>9</v>
      </c>
      <c r="G134" s="209" t="s">
        <v>293</v>
      </c>
      <c r="H134" s="213">
        <f>F134*H127</f>
        <v>130.5</v>
      </c>
      <c r="I134" s="209" t="s">
        <v>57</v>
      </c>
      <c r="J134" s="212">
        <f>SUM(J127:J133)</f>
        <v>0</v>
      </c>
      <c r="K134" s="209" t="s">
        <v>293</v>
      </c>
      <c r="L134" s="213">
        <f>J134*L127</f>
        <v>0</v>
      </c>
      <c r="M134" s="209" t="s">
        <v>57</v>
      </c>
    </row>
    <row r="136" spans="2:21" ht="40.200000000000003" customHeight="1" x14ac:dyDescent="0.25">
      <c r="N136" s="5"/>
      <c r="O136" s="5"/>
      <c r="P136" s="5"/>
      <c r="Q136" s="5"/>
      <c r="R136" s="5"/>
      <c r="S136" s="5"/>
      <c r="T136" s="5"/>
      <c r="U136" s="5"/>
    </row>
    <row r="139" spans="2:21" ht="37.950000000000003" customHeight="1" x14ac:dyDescent="0.25"/>
    <row r="149" spans="1:29" x14ac:dyDescent="0.25">
      <c r="AB149" s="5"/>
      <c r="AC149" s="5"/>
    </row>
    <row r="151" spans="1:29" s="5" customFormat="1" x14ac:dyDescent="0.25">
      <c r="A151" s="198"/>
      <c r="B151"/>
      <c r="C151"/>
      <c r="D151"/>
      <c r="E151"/>
      <c r="F151"/>
      <c r="G151"/>
      <c r="H151"/>
      <c r="I151"/>
      <c r="J151"/>
      <c r="K151"/>
      <c r="L151"/>
      <c r="M151"/>
      <c r="N151"/>
      <c r="O151"/>
      <c r="P151"/>
      <c r="Q151"/>
      <c r="R151"/>
      <c r="S151"/>
      <c r="T151"/>
      <c r="U151"/>
      <c r="AB151"/>
      <c r="AC151"/>
    </row>
    <row r="153" spans="1:29" x14ac:dyDescent="0.25">
      <c r="N153" s="5"/>
      <c r="O153" s="5"/>
      <c r="P153" s="5"/>
      <c r="Q153" s="5"/>
      <c r="R153" s="5"/>
      <c r="S153" s="5"/>
      <c r="T153" s="5"/>
      <c r="U153" s="5"/>
    </row>
  </sheetData>
  <mergeCells count="37">
    <mergeCell ref="F100:G100"/>
    <mergeCell ref="H100:I100"/>
    <mergeCell ref="J100:K100"/>
    <mergeCell ref="B123:M123"/>
    <mergeCell ref="E125:G125"/>
    <mergeCell ref="H125:I125"/>
    <mergeCell ref="J125:K125"/>
    <mergeCell ref="L125:M125"/>
    <mergeCell ref="F75:G75"/>
    <mergeCell ref="H75:I75"/>
    <mergeCell ref="J75:K75"/>
    <mergeCell ref="F82:G82"/>
    <mergeCell ref="H82:I82"/>
    <mergeCell ref="J82:K82"/>
    <mergeCell ref="B60:D60"/>
    <mergeCell ref="B64:D64"/>
    <mergeCell ref="B67:E67"/>
    <mergeCell ref="L67:M67"/>
    <mergeCell ref="F69:G69"/>
    <mergeCell ref="H69:I69"/>
    <mergeCell ref="J69:K69"/>
    <mergeCell ref="B62:D62"/>
    <mergeCell ref="B2:C2"/>
    <mergeCell ref="B4:L4"/>
    <mergeCell ref="B11:D11"/>
    <mergeCell ref="B55:D55"/>
    <mergeCell ref="B24:E24"/>
    <mergeCell ref="B25:E25"/>
    <mergeCell ref="B26:D26"/>
    <mergeCell ref="B29:C29"/>
    <mergeCell ref="C32:D32"/>
    <mergeCell ref="B36:D36"/>
    <mergeCell ref="C39:D39"/>
    <mergeCell ref="B43:D43"/>
    <mergeCell ref="C46:D46"/>
    <mergeCell ref="B50:C50"/>
    <mergeCell ref="C53:D53"/>
  </mergeCells>
  <hyperlinks>
    <hyperlink ref="B2" location="Tilakokonaisuus!A1" display="PALAA ETUSIVULLE" xr:uid="{45DCD6E8-B623-7241-837C-34697908BF8E}"/>
    <hyperlink ref="B2:C2" location="'Gårdens info'!A1" display="TILL FRAMSIDAN" xr:uid="{B1C76927-20EA-1B44-A001-1B093FE6609C}"/>
    <hyperlink ref="B24:E24" location="'Gårdens info'!C97" display="ALLMÄNNA KOSTNADER, havrens andel" xr:uid="{6D944F7D-CCAB-5941-A308-7AFAC12F9788}"/>
    <hyperlink ref="B29:C29" location="Omaisuus!B15" display="RAKENNUKSET" xr:uid="{C419812E-1DA6-7E4E-96BB-DC7A8F391393}"/>
    <hyperlink ref="B36:D36" location="Omaisuus!B28" display="KONEET JA KALUSTO" xr:uid="{CB8520B2-3BB9-2D48-9CC0-D3A5F7CA83EC}"/>
    <hyperlink ref="B43:D43" location="Omaisuus!B51" display="PIDEMPIAIKAISET TUOTANTOVÄLINEET" xr:uid="{AB39A1C7-AE88-7B4A-899A-9000002C4766}"/>
    <hyperlink ref="B50:C50" location="Omaisuus!B70" display="SALAOJAT" xr:uid="{A3A48838-C1A6-D84D-9564-1937AA95F307}"/>
    <hyperlink ref="L67" location="'Avomaan mansikka'!B2" display="PALAA SIVUN YLÄLAITAAN" xr:uid="{BA60C0D9-2ADB-494B-A963-76890E4D04AC}"/>
    <hyperlink ref="L67:M67" location="Havre!A1" display="TILL SIDANS BÖRJAN" xr:uid="{93EA5CDD-BD2E-5043-BDB2-8DA8EF4954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327C-0BBA-484D-BFB6-B4BBC6D93934}">
  <sheetPr>
    <tabColor theme="2" tint="-0.249977111117893"/>
  </sheetPr>
  <dimension ref="A1:AE153"/>
  <sheetViews>
    <sheetView topLeftCell="B9" zoomScale="71" workbookViewId="0">
      <selection activeCell="E126" sqref="E126"/>
    </sheetView>
  </sheetViews>
  <sheetFormatPr defaultColWidth="11.44140625" defaultRowHeight="13.2" x14ac:dyDescent="0.25"/>
  <cols>
    <col min="1" max="1" width="5.33203125" style="138"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138" customFormat="1" ht="22.8" x14ac:dyDescent="0.4">
      <c r="B1" s="560" t="s">
        <v>48</v>
      </c>
    </row>
    <row r="2" spans="1:13" ht="27" customHeight="1" x14ac:dyDescent="0.3">
      <c r="B2" s="1094" t="s">
        <v>201</v>
      </c>
      <c r="C2" s="1094"/>
      <c r="F2" s="69"/>
      <c r="G2" s="69"/>
      <c r="H2" s="69"/>
    </row>
    <row r="3" spans="1:13" ht="27" customHeight="1" x14ac:dyDescent="0.3">
      <c r="B3" s="189"/>
      <c r="C3" s="189"/>
    </row>
    <row r="4" spans="1:13" ht="55.2"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833</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info'!G38</f>
        <v>0</v>
      </c>
      <c r="G9" s="119" t="s">
        <v>57</v>
      </c>
      <c r="H9" s="298">
        <v>0.26</v>
      </c>
      <c r="I9" s="119" t="s">
        <v>206</v>
      </c>
      <c r="J9" s="229">
        <f>F9*'Gårdens info'!D37</f>
        <v>0</v>
      </c>
      <c r="K9" s="119" t="s">
        <v>834</v>
      </c>
      <c r="L9" s="119"/>
      <c r="M9" s="226"/>
    </row>
    <row r="10" spans="1:13" ht="15" x14ac:dyDescent="0.25">
      <c r="B10" s="227"/>
      <c r="C10" s="119" t="s">
        <v>211</v>
      </c>
      <c r="D10" s="119"/>
      <c r="E10" s="119"/>
      <c r="F10" s="229">
        <f>IF('Gårdens info'!D38&gt;0,Stöd!L14,0)</f>
        <v>0</v>
      </c>
      <c r="G10" s="119" t="s">
        <v>57</v>
      </c>
      <c r="H10" s="298">
        <f>IF('Gårdens info'!G38&gt;0,F10/'Gårdens info'!G38,0)</f>
        <v>0</v>
      </c>
      <c r="I10" s="119" t="s">
        <v>206</v>
      </c>
      <c r="J10" s="229">
        <f>F10*'Gårdens info'!D37</f>
        <v>0</v>
      </c>
      <c r="K10" s="119" t="s">
        <v>834</v>
      </c>
      <c r="L10" s="119"/>
      <c r="M10" s="226"/>
    </row>
    <row r="11" spans="1:13" s="5" customFormat="1" ht="21" customHeight="1" x14ac:dyDescent="0.4">
      <c r="A11" s="555"/>
      <c r="B11" s="1061" t="s">
        <v>214</v>
      </c>
      <c r="C11" s="1043"/>
      <c r="D11" s="1043"/>
      <c r="E11" s="262"/>
      <c r="F11" s="266">
        <f>F9+F10</f>
        <v>0</v>
      </c>
      <c r="G11" s="267" t="s">
        <v>57</v>
      </c>
      <c r="H11" s="268">
        <f>H9+H10</f>
        <v>0.26</v>
      </c>
      <c r="I11" s="267" t="s">
        <v>206</v>
      </c>
      <c r="J11" s="269">
        <f>J9+J10</f>
        <v>0</v>
      </c>
      <c r="K11" s="267" t="s">
        <v>834</v>
      </c>
      <c r="L11" s="267"/>
      <c r="M11" s="259"/>
    </row>
    <row r="12" spans="1:13" s="5" customFormat="1" ht="21" x14ac:dyDescent="0.4">
      <c r="A12" s="555"/>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816</v>
      </c>
      <c r="C14" s="225"/>
      <c r="D14" s="116"/>
      <c r="E14" s="116"/>
      <c r="F14" s="116"/>
      <c r="G14" s="116"/>
      <c r="H14" s="116"/>
      <c r="I14" s="116"/>
      <c r="J14" s="232"/>
      <c r="K14" s="116"/>
      <c r="L14" s="116"/>
      <c r="M14" s="226"/>
    </row>
    <row r="15" spans="1:13" s="56" customFormat="1" ht="16.95" customHeight="1" x14ac:dyDescent="0.3">
      <c r="A15" s="138"/>
      <c r="B15" s="493"/>
      <c r="C15" s="245"/>
      <c r="D15" s="249"/>
      <c r="E15" s="249"/>
      <c r="F15" s="250"/>
      <c r="G15" s="120"/>
      <c r="H15" s="249"/>
      <c r="I15" s="249"/>
      <c r="J15" s="249"/>
      <c r="K15" s="249"/>
      <c r="L15" s="249"/>
      <c r="M15" s="234"/>
    </row>
    <row r="16" spans="1:13" s="69" customFormat="1" ht="16.95" customHeight="1" x14ac:dyDescent="0.25">
      <c r="A16" s="138"/>
      <c r="B16" s="493"/>
      <c r="C16" s="228" t="s">
        <v>218</v>
      </c>
      <c r="D16" s="236"/>
      <c r="E16" s="236"/>
      <c r="F16" s="247">
        <f>IF('Gårdens info'!D38&gt;0,J71,0)</f>
        <v>0</v>
      </c>
      <c r="G16" s="119" t="s">
        <v>57</v>
      </c>
      <c r="H16" s="238">
        <f>IF('Gårdens info'!$G$38&gt;0,F16/'Gårdens info'!$G$38,0)</f>
        <v>0</v>
      </c>
      <c r="I16" s="119" t="s">
        <v>206</v>
      </c>
      <c r="J16" s="237">
        <f>F16*'Gårdens info'!$D$38</f>
        <v>0</v>
      </c>
      <c r="K16" s="119" t="s">
        <v>834</v>
      </c>
      <c r="L16" s="236"/>
      <c r="M16" s="239"/>
    </row>
    <row r="17" spans="1:31" s="69" customFormat="1" ht="15" x14ac:dyDescent="0.25">
      <c r="A17" s="556"/>
      <c r="B17" s="235"/>
      <c r="C17" s="228" t="s">
        <v>219</v>
      </c>
      <c r="D17" s="236"/>
      <c r="E17" s="236"/>
      <c r="F17" s="237">
        <f>IF('Gårdens info'!D38&gt;0,J79,0)</f>
        <v>0</v>
      </c>
      <c r="G17" s="119" t="s">
        <v>57</v>
      </c>
      <c r="H17" s="238">
        <f>IF('Gårdens info'!$G$38&gt;0,F17/'Gårdens info'!$G$38,0)</f>
        <v>0</v>
      </c>
      <c r="I17" s="119" t="s">
        <v>206</v>
      </c>
      <c r="J17" s="237">
        <f>F17*'Gårdens info'!$D$38</f>
        <v>0</v>
      </c>
      <c r="K17" s="119" t="s">
        <v>834</v>
      </c>
      <c r="L17" s="236"/>
      <c r="M17" s="239"/>
    </row>
    <row r="18" spans="1:31" s="69" customFormat="1" ht="15" x14ac:dyDescent="0.25">
      <c r="A18" s="556"/>
      <c r="B18" s="235"/>
      <c r="C18" s="228" t="s">
        <v>220</v>
      </c>
      <c r="D18" s="236"/>
      <c r="E18" s="236"/>
      <c r="F18" s="237">
        <f>IF('Gårdens info'!D38&gt;0,J97,0)</f>
        <v>0</v>
      </c>
      <c r="G18" s="119" t="s">
        <v>57</v>
      </c>
      <c r="H18" s="238">
        <f>IF('Gårdens info'!$G$38&gt;0,F18/'Gårdens info'!$G$38,0)</f>
        <v>0</v>
      </c>
      <c r="I18" s="119" t="s">
        <v>206</v>
      </c>
      <c r="J18" s="237">
        <f>F18*'Gårdens info'!$D$38</f>
        <v>0</v>
      </c>
      <c r="K18" s="119" t="s">
        <v>834</v>
      </c>
      <c r="L18" s="236"/>
      <c r="M18" s="239"/>
    </row>
    <row r="19" spans="1:31" s="69" customFormat="1" ht="15" x14ac:dyDescent="0.25">
      <c r="A19" s="556"/>
      <c r="B19" s="235"/>
      <c r="C19" s="228" t="s">
        <v>568</v>
      </c>
      <c r="D19" s="236"/>
      <c r="E19" s="236"/>
      <c r="F19" s="237">
        <f>IF('Gårdens info'!D38&gt;0,J106,0)</f>
        <v>0</v>
      </c>
      <c r="G19" s="119" t="s">
        <v>57</v>
      </c>
      <c r="H19" s="238">
        <f>IF('Gårdens info'!$G$38&gt;0,F19/'Gårdens info'!$G$38,0)</f>
        <v>0</v>
      </c>
      <c r="I19" s="119" t="s">
        <v>206</v>
      </c>
      <c r="J19" s="237">
        <f>F19*'Gårdens info'!$D$38</f>
        <v>0</v>
      </c>
      <c r="K19" s="119" t="s">
        <v>834</v>
      </c>
      <c r="L19" s="236"/>
      <c r="M19" s="239"/>
    </row>
    <row r="20" spans="1:31" s="69" customFormat="1" ht="15" x14ac:dyDescent="0.25">
      <c r="A20" s="556"/>
      <c r="B20" s="235"/>
      <c r="C20" s="228" t="s">
        <v>224</v>
      </c>
      <c r="D20" s="236"/>
      <c r="E20" s="236"/>
      <c r="F20" s="237">
        <f>IF('Gårdens info'!D38&gt;0,J118,0)</f>
        <v>0</v>
      </c>
      <c r="G20" s="119" t="s">
        <v>57</v>
      </c>
      <c r="H20" s="238">
        <f>IF('Gårdens info'!$G$38&gt;0,F20/'Gårdens info'!$G$38,0)</f>
        <v>0</v>
      </c>
      <c r="I20" s="119" t="s">
        <v>206</v>
      </c>
      <c r="J20" s="237">
        <f>F20*'Gårdens info'!$D$38</f>
        <v>0</v>
      </c>
      <c r="K20" s="119" t="s">
        <v>834</v>
      </c>
      <c r="L20" s="236"/>
      <c r="M20" s="239"/>
    </row>
    <row r="21" spans="1:31" s="69" customFormat="1" ht="15" x14ac:dyDescent="0.25">
      <c r="A21" s="556"/>
      <c r="B21" s="235"/>
      <c r="C21" s="228" t="s">
        <v>817</v>
      </c>
      <c r="D21" s="236"/>
      <c r="E21" s="236"/>
      <c r="F21" s="237">
        <f>IF('Gårdens info'!D38&gt;0,L134,0)</f>
        <v>0</v>
      </c>
      <c r="G21" s="119" t="s">
        <v>57</v>
      </c>
      <c r="H21" s="238">
        <f>IF('Gårdens info'!$G$38&gt;0,F21/'Gårdens info'!$G$38,0)</f>
        <v>0</v>
      </c>
      <c r="I21" s="119" t="s">
        <v>206</v>
      </c>
      <c r="J21" s="237">
        <f>F21*'Gårdens info'!$D$38</f>
        <v>0</v>
      </c>
      <c r="K21" s="119" t="s">
        <v>834</v>
      </c>
      <c r="L21" s="236"/>
      <c r="M21" s="239"/>
    </row>
    <row r="22" spans="1:31" ht="15.6" x14ac:dyDescent="0.3">
      <c r="B22" s="251"/>
      <c r="C22" s="240" t="s">
        <v>54</v>
      </c>
      <c r="D22" s="241"/>
      <c r="E22" s="241"/>
      <c r="F22" s="242">
        <f>SUM(F16:F21)</f>
        <v>0</v>
      </c>
      <c r="G22" s="243" t="s">
        <v>57</v>
      </c>
      <c r="H22" s="244">
        <f>SUM(H16:H21)</f>
        <v>0</v>
      </c>
      <c r="I22" s="243" t="s">
        <v>206</v>
      </c>
      <c r="J22" s="242">
        <f>SUM(J16:J21)</f>
        <v>0</v>
      </c>
      <c r="K22" s="243" t="s">
        <v>834</v>
      </c>
      <c r="L22" s="241"/>
      <c r="M22" s="252"/>
      <c r="N22" s="69"/>
      <c r="O22" s="69"/>
      <c r="P22" s="69"/>
      <c r="Q22" s="69"/>
      <c r="R22" s="69"/>
      <c r="S22" s="69"/>
      <c r="T22" s="69"/>
      <c r="U22" s="69"/>
    </row>
    <row r="23" spans="1:31" s="56" customFormat="1" ht="17.399999999999999" x14ac:dyDescent="0.3">
      <c r="A23" s="142"/>
      <c r="B23" s="231"/>
      <c r="C23" s="245"/>
      <c r="D23" s="246"/>
      <c r="E23" s="246"/>
      <c r="F23" s="247"/>
      <c r="G23" s="119"/>
      <c r="H23" s="246"/>
      <c r="I23" s="246"/>
      <c r="J23" s="246"/>
      <c r="K23" s="246"/>
      <c r="L23" s="246"/>
      <c r="M23" s="226"/>
      <c r="N23" s="69"/>
      <c r="O23" s="69"/>
      <c r="P23" s="69"/>
      <c r="R23" s="69"/>
      <c r="S23" s="69"/>
      <c r="T23" s="69"/>
      <c r="U23" s="69"/>
      <c r="AB23" s="449" t="s">
        <v>218</v>
      </c>
      <c r="AC23" s="561">
        <f>F16</f>
        <v>0</v>
      </c>
    </row>
    <row r="24" spans="1:31" s="69" customFormat="1" ht="17.399999999999999" x14ac:dyDescent="0.3">
      <c r="A24" s="556"/>
      <c r="B24" s="1081" t="s">
        <v>835</v>
      </c>
      <c r="C24" s="1082"/>
      <c r="D24" s="1082"/>
      <c r="E24" s="1082"/>
      <c r="F24" s="263">
        <f>IF('Gårdens info'!D38&gt;0,J24/'Gårdens info'!D38,0)</f>
        <v>0</v>
      </c>
      <c r="G24" s="243" t="s">
        <v>57</v>
      </c>
      <c r="H24" s="264">
        <f>IF('Gårdens info'!G38&gt;0,F24/'Gårdens info'!G38,0)</f>
        <v>0</v>
      </c>
      <c r="I24" s="243" t="s">
        <v>206</v>
      </c>
      <c r="J24" s="258">
        <f>'Gårdens info'!G163/'Gårdens info'!D43*'Gårdens info'!D38</f>
        <v>0</v>
      </c>
      <c r="K24" s="243" t="s">
        <v>834</v>
      </c>
      <c r="L24" s="265"/>
      <c r="M24" s="259"/>
      <c r="N24"/>
      <c r="O24"/>
      <c r="P24"/>
      <c r="S24"/>
      <c r="T24"/>
      <c r="U24"/>
      <c r="AB24" s="382" t="s">
        <v>219</v>
      </c>
      <c r="AC24" s="561">
        <f t="shared" ref="AC24:AC28" si="0">F17</f>
        <v>0</v>
      </c>
    </row>
    <row r="25" spans="1:31" s="69" customFormat="1" ht="17.399999999999999" customHeight="1" x14ac:dyDescent="0.3">
      <c r="A25" s="556"/>
      <c r="B25" s="1091" t="s">
        <v>836</v>
      </c>
      <c r="C25" s="1092"/>
      <c r="D25" s="1092"/>
      <c r="E25" s="1092"/>
      <c r="F25" s="263">
        <f>IF('Gårdens info'!D38&gt;0,J25/'Gårdens info'!D38,0)</f>
        <v>0</v>
      </c>
      <c r="G25" s="243" t="s">
        <v>57</v>
      </c>
      <c r="H25" s="264">
        <f>IF('Gårdens info'!G38&gt;0,F25/'Gårdens info'!G38,0)</f>
        <v>0</v>
      </c>
      <c r="I25" s="243" t="s">
        <v>206</v>
      </c>
      <c r="J25" s="258">
        <f>'Gårdens info'!$D$48/'Gårdens info'!$D$49*'Gårdens info'!$G$48*'Gårdens info'!D38</f>
        <v>0</v>
      </c>
      <c r="K25" s="243" t="s">
        <v>834</v>
      </c>
      <c r="L25" s="265"/>
      <c r="M25" s="259"/>
      <c r="N25" s="56"/>
      <c r="O25" s="56"/>
      <c r="P25" s="56"/>
      <c r="S25" s="56"/>
      <c r="T25" s="56"/>
      <c r="U25" s="56"/>
      <c r="AB25" s="382" t="s">
        <v>220</v>
      </c>
      <c r="AC25" s="561">
        <f t="shared" si="0"/>
        <v>0</v>
      </c>
      <c r="AE25" s="382"/>
    </row>
    <row r="26" spans="1:31" s="69" customFormat="1" ht="21" customHeight="1" x14ac:dyDescent="0.4">
      <c r="A26" s="556"/>
      <c r="B26" s="1061" t="s">
        <v>189</v>
      </c>
      <c r="C26" s="1043"/>
      <c r="D26" s="1043"/>
      <c r="E26" s="262"/>
      <c r="F26" s="266">
        <f>F22+F24+F25</f>
        <v>0</v>
      </c>
      <c r="G26" s="267" t="s">
        <v>57</v>
      </c>
      <c r="H26" s="268">
        <f>H22+H24+H25</f>
        <v>0</v>
      </c>
      <c r="I26" s="267" t="s">
        <v>206</v>
      </c>
      <c r="J26" s="269">
        <f>J22+J24+J25</f>
        <v>0</v>
      </c>
      <c r="K26" s="267" t="s">
        <v>834</v>
      </c>
      <c r="L26" s="267"/>
      <c r="M26" s="259"/>
      <c r="AB26" s="382" t="str">
        <f t="shared" ref="AB26:AB28" si="1">C19</f>
        <v>Maskinhyra och entreprenad</v>
      </c>
      <c r="AC26" s="561">
        <f t="shared" si="0"/>
        <v>0</v>
      </c>
      <c r="AE26" s="382"/>
    </row>
    <row r="27" spans="1:31" s="69" customFormat="1" ht="21" x14ac:dyDescent="0.4">
      <c r="A27" s="556"/>
      <c r="B27" s="288"/>
      <c r="C27" s="270"/>
      <c r="D27" s="270"/>
      <c r="E27" s="262"/>
      <c r="F27" s="266"/>
      <c r="G27" s="267"/>
      <c r="H27" s="268"/>
      <c r="I27" s="267"/>
      <c r="J27" s="269"/>
      <c r="K27" s="267"/>
      <c r="L27" s="267"/>
      <c r="M27" s="259"/>
      <c r="AB27" s="382" t="str">
        <f t="shared" si="1"/>
        <v>Energikostnader</v>
      </c>
      <c r="AC27" s="561">
        <f t="shared" si="0"/>
        <v>0</v>
      </c>
      <c r="AE27" s="381"/>
    </row>
    <row r="28" spans="1:31" s="69" customFormat="1" ht="21" x14ac:dyDescent="0.4">
      <c r="A28" s="556"/>
      <c r="B28" s="257" t="s">
        <v>837</v>
      </c>
      <c r="C28" s="225"/>
      <c r="D28" s="116"/>
      <c r="E28" s="116"/>
      <c r="F28" s="116"/>
      <c r="G28" s="116"/>
      <c r="H28" s="116"/>
      <c r="I28" s="116"/>
      <c r="J28" s="232"/>
      <c r="K28" s="116"/>
      <c r="L28" s="116"/>
      <c r="M28" s="226"/>
      <c r="AB28" s="382" t="str">
        <f t="shared" si="1"/>
        <v xml:space="preserve">Anställd arbetskraft </v>
      </c>
      <c r="AC28" s="561">
        <f t="shared" si="0"/>
        <v>0</v>
      </c>
      <c r="AE28" s="449"/>
    </row>
    <row r="29" spans="1:31" s="69" customFormat="1" ht="21" x14ac:dyDescent="0.4">
      <c r="A29" s="556"/>
      <c r="B29" s="1081" t="s">
        <v>69</v>
      </c>
      <c r="C29" s="1082"/>
      <c r="D29" s="270"/>
      <c r="E29" s="262"/>
      <c r="F29" s="266"/>
      <c r="G29" s="267"/>
      <c r="H29" s="268"/>
      <c r="I29" s="267"/>
      <c r="J29" s="269"/>
      <c r="K29" s="267"/>
      <c r="L29" s="267"/>
      <c r="M29" s="259"/>
      <c r="AB29" s="384" t="s">
        <v>538</v>
      </c>
      <c r="AC29" s="384">
        <f>F24</f>
        <v>0</v>
      </c>
      <c r="AE29" s="382"/>
    </row>
    <row r="30" spans="1:31" s="69" customFormat="1" ht="21" x14ac:dyDescent="0.4">
      <c r="A30" s="556"/>
      <c r="B30" s="287"/>
      <c r="C30" s="274" t="s">
        <v>229</v>
      </c>
      <c r="D30" s="270"/>
      <c r="E30" s="262"/>
      <c r="F30" s="276">
        <f>IF('Gårdens info'!$D$38&gt;0,J30/'Gårdens info'!$D$38,0)</f>
        <v>0</v>
      </c>
      <c r="G30" s="119" t="s">
        <v>57</v>
      </c>
      <c r="H30" s="277">
        <f>IF('Gårdens info'!$G$38&gt;0,F30/'Gårdens info'!$G$38,0)</f>
        <v>0</v>
      </c>
      <c r="I30" s="119" t="s">
        <v>206</v>
      </c>
      <c r="J30" s="237">
        <f>Egendom!BD25</f>
        <v>0</v>
      </c>
      <c r="K30" s="119" t="s">
        <v>834</v>
      </c>
      <c r="L30" s="267"/>
      <c r="M30" s="259"/>
      <c r="AB30" s="382" t="s">
        <v>482</v>
      </c>
      <c r="AC30" s="384">
        <f>F25</f>
        <v>0</v>
      </c>
      <c r="AE30" s="382"/>
    </row>
    <row r="31" spans="1:31" s="192" customFormat="1" ht="21" x14ac:dyDescent="0.4">
      <c r="A31" s="557"/>
      <c r="B31" s="287"/>
      <c r="C31" s="274" t="s">
        <v>230</v>
      </c>
      <c r="D31" s="270"/>
      <c r="E31" s="262"/>
      <c r="F31" s="276">
        <f>IF('Gårdens info'!$D$38&gt;0,J31/'Gårdens info'!$D$38,0)</f>
        <v>0</v>
      </c>
      <c r="G31" s="119" t="s">
        <v>57</v>
      </c>
      <c r="H31" s="277">
        <f>IF('Gårdens info'!$G$38&gt;0,F31/'Gårdens info'!$G$38,0)</f>
        <v>0</v>
      </c>
      <c r="I31" s="119" t="s">
        <v>206</v>
      </c>
      <c r="J31" s="237">
        <f>Egendom!CB25</f>
        <v>0</v>
      </c>
      <c r="K31" s="119" t="s">
        <v>834</v>
      </c>
      <c r="L31" s="267"/>
      <c r="M31" s="259"/>
      <c r="N31" s="69"/>
      <c r="O31" s="69"/>
      <c r="P31" s="69"/>
      <c r="S31" s="69"/>
      <c r="T31" s="69"/>
      <c r="U31" s="69"/>
      <c r="AB31" s="382" t="s">
        <v>235</v>
      </c>
      <c r="AC31" s="385">
        <f>F34</f>
        <v>0</v>
      </c>
    </row>
    <row r="32" spans="1:31" ht="17.399999999999999" customHeight="1" x14ac:dyDescent="0.3">
      <c r="B32" s="287"/>
      <c r="C32" s="1083" t="s">
        <v>232</v>
      </c>
      <c r="D32" s="1083"/>
      <c r="E32" s="262"/>
      <c r="F32" s="276">
        <f>IF('Gårdens info'!$D$38&gt;0,J32/'Gårdens info'!$D$38,0)</f>
        <v>0</v>
      </c>
      <c r="G32" s="119" t="s">
        <v>57</v>
      </c>
      <c r="H32" s="277">
        <f>IF('Gårdens info'!$G$38&gt;0,F32/'Gårdens info'!$G$38,0)</f>
        <v>0</v>
      </c>
      <c r="I32" s="119" t="s">
        <v>206</v>
      </c>
      <c r="J32" s="237">
        <f>Egendom!CZ25</f>
        <v>0</v>
      </c>
      <c r="K32" s="119" t="s">
        <v>834</v>
      </c>
      <c r="L32" s="267"/>
      <c r="M32" s="259"/>
      <c r="N32" s="69"/>
      <c r="O32" s="69"/>
      <c r="P32" s="69"/>
      <c r="S32" s="69"/>
      <c r="T32" s="69"/>
      <c r="U32" s="69"/>
      <c r="AB32" s="382" t="s">
        <v>236</v>
      </c>
      <c r="AC32" s="386">
        <f>F41</f>
        <v>0</v>
      </c>
    </row>
    <row r="33" spans="1:29" ht="21" x14ac:dyDescent="0.4">
      <c r="B33" s="287"/>
      <c r="C33" s="274" t="s">
        <v>234</v>
      </c>
      <c r="D33" s="270"/>
      <c r="E33" s="262"/>
      <c r="F33" s="276">
        <f>IF('Gårdens info'!$D$38&gt;0,J33/'Gårdens info'!$D$38,0)</f>
        <v>0</v>
      </c>
      <c r="G33" s="119" t="s">
        <v>57</v>
      </c>
      <c r="H33" s="277">
        <f>IF('Gårdens info'!$G$38&gt;0,F33/'Gårdens info'!$G$38,0)</f>
        <v>0</v>
      </c>
      <c r="I33" s="119" t="s">
        <v>206</v>
      </c>
      <c r="J33" s="237">
        <f>Egendom!DX25</f>
        <v>0</v>
      </c>
      <c r="K33" s="119" t="s">
        <v>834</v>
      </c>
      <c r="L33" s="267"/>
      <c r="M33" s="259"/>
      <c r="N33" s="192"/>
      <c r="O33" s="192"/>
      <c r="P33" s="192"/>
      <c r="S33" s="192"/>
      <c r="T33" s="192"/>
      <c r="U33" s="192"/>
      <c r="AB33" s="382" t="s">
        <v>237</v>
      </c>
      <c r="AC33" s="386">
        <f>F48</f>
        <v>0</v>
      </c>
    </row>
    <row r="34" spans="1:29" ht="20.399999999999999" x14ac:dyDescent="0.35">
      <c r="B34" s="289"/>
      <c r="C34" s="278" t="s">
        <v>54</v>
      </c>
      <c r="D34" s="279"/>
      <c r="E34" s="262"/>
      <c r="F34" s="280">
        <f>SUM(F30:F33)</f>
        <v>0</v>
      </c>
      <c r="G34" s="119" t="s">
        <v>57</v>
      </c>
      <c r="H34" s="285">
        <f t="shared" ref="H34:J34" si="2">SUM(H30:H33)</f>
        <v>0</v>
      </c>
      <c r="I34" s="119" t="s">
        <v>206</v>
      </c>
      <c r="J34" s="280">
        <f t="shared" si="2"/>
        <v>0</v>
      </c>
      <c r="K34" s="119" t="s">
        <v>834</v>
      </c>
      <c r="L34" s="281"/>
      <c r="M34" s="259"/>
      <c r="AB34" s="382" t="s">
        <v>141</v>
      </c>
      <c r="AC34" s="386">
        <f>F54</f>
        <v>0</v>
      </c>
    </row>
    <row r="35" spans="1:29" s="69" customFormat="1" ht="21" x14ac:dyDescent="0.4">
      <c r="A35" s="556"/>
      <c r="B35" s="287"/>
      <c r="C35" s="274"/>
      <c r="D35" s="270"/>
      <c r="E35" s="262"/>
      <c r="F35" s="276"/>
      <c r="G35" s="119"/>
      <c r="H35" s="277"/>
      <c r="I35" s="119"/>
      <c r="J35" s="237"/>
      <c r="K35" s="119"/>
      <c r="L35" s="267"/>
      <c r="M35" s="259"/>
      <c r="N35"/>
      <c r="O35"/>
      <c r="P35"/>
      <c r="S35"/>
      <c r="T35"/>
      <c r="U35"/>
      <c r="AB35" s="382" t="s">
        <v>192</v>
      </c>
      <c r="AC35" s="384">
        <f>F60</f>
        <v>0</v>
      </c>
    </row>
    <row r="36" spans="1:29" s="69" customFormat="1" ht="17.399999999999999" x14ac:dyDescent="0.3">
      <c r="A36" s="556"/>
      <c r="B36" s="1081" t="s">
        <v>838</v>
      </c>
      <c r="C36" s="1082"/>
      <c r="D36" s="1082"/>
      <c r="E36" s="262"/>
      <c r="F36" s="276"/>
      <c r="G36" s="119"/>
      <c r="H36" s="277"/>
      <c r="I36" s="119"/>
      <c r="J36" s="237"/>
      <c r="K36" s="119"/>
      <c r="L36" s="267"/>
      <c r="M36" s="259"/>
      <c r="N36"/>
      <c r="O36"/>
      <c r="P36"/>
      <c r="S36"/>
      <c r="T36"/>
      <c r="U36"/>
      <c r="AB36" s="5"/>
      <c r="AC36" s="5"/>
    </row>
    <row r="37" spans="1:29" s="69" customFormat="1" ht="21" x14ac:dyDescent="0.4">
      <c r="A37" s="556"/>
      <c r="B37" s="287"/>
      <c r="C37" s="274" t="s">
        <v>229</v>
      </c>
      <c r="D37" s="270"/>
      <c r="E37" s="262"/>
      <c r="F37" s="276">
        <f>IF('Gårdens info'!$D$38&gt;0,J37/'Gårdens info'!$D$38,0)</f>
        <v>0</v>
      </c>
      <c r="G37" s="119" t="s">
        <v>57</v>
      </c>
      <c r="H37" s="277">
        <f>IF('Gårdens info'!$G$38&gt;0,F37/'Gårdens info'!$G$38,0)</f>
        <v>0</v>
      </c>
      <c r="I37" s="119" t="s">
        <v>206</v>
      </c>
      <c r="J37" s="237">
        <f>Egendom!BD61</f>
        <v>0</v>
      </c>
      <c r="K37" s="119" t="s">
        <v>834</v>
      </c>
      <c r="L37" s="267"/>
      <c r="M37" s="259"/>
      <c r="AB37" s="5"/>
      <c r="AC37" s="5"/>
    </row>
    <row r="38" spans="1:29" s="5" customFormat="1" ht="21" x14ac:dyDescent="0.4">
      <c r="A38" s="555"/>
      <c r="B38" s="287"/>
      <c r="C38" s="274" t="s">
        <v>230</v>
      </c>
      <c r="D38" s="270"/>
      <c r="E38" s="262"/>
      <c r="F38" s="276">
        <f>IF('Gårdens info'!$D$38&gt;0,J38/'Gårdens info'!$D$38,0)</f>
        <v>0</v>
      </c>
      <c r="G38" s="119" t="s">
        <v>57</v>
      </c>
      <c r="H38" s="277">
        <f>IF('Gårdens info'!$G$38&gt;0,F38/'Gårdens info'!$G$38,0)</f>
        <v>0</v>
      </c>
      <c r="I38" s="119" t="s">
        <v>206</v>
      </c>
      <c r="J38" s="237">
        <f>Egendom!CB61</f>
        <v>0</v>
      </c>
      <c r="K38" s="119" t="s">
        <v>834</v>
      </c>
      <c r="L38" s="267"/>
      <c r="M38" s="259"/>
      <c r="N38" s="69"/>
      <c r="O38" s="69"/>
      <c r="P38" s="69"/>
      <c r="Q38" s="69"/>
      <c r="R38" s="69"/>
      <c r="S38" s="69"/>
      <c r="T38" s="69"/>
      <c r="U38" s="69"/>
    </row>
    <row r="39" spans="1:29" s="5" customFormat="1" ht="17.399999999999999" customHeight="1" x14ac:dyDescent="0.3">
      <c r="A39" s="555"/>
      <c r="B39" s="287"/>
      <c r="C39" s="1083" t="s">
        <v>232</v>
      </c>
      <c r="D39" s="1083"/>
      <c r="E39" s="262"/>
      <c r="F39" s="276">
        <f>IF('Gårdens info'!$D$38&gt;0,J39/'Gårdens info'!$D$38,0)</f>
        <v>0</v>
      </c>
      <c r="G39" s="119" t="s">
        <v>57</v>
      </c>
      <c r="H39" s="277">
        <f>IF('Gårdens info'!$G$38&gt;0,F39/'Gårdens info'!$G$38,0)</f>
        <v>0</v>
      </c>
      <c r="I39" s="119" t="s">
        <v>206</v>
      </c>
      <c r="J39" s="237" t="e">
        <f>Egendom!CZ61</f>
        <v>#DIV/0!</v>
      </c>
      <c r="K39" s="119" t="s">
        <v>834</v>
      </c>
      <c r="L39" s="267"/>
      <c r="M39" s="259"/>
      <c r="N39" s="69"/>
      <c r="O39" s="69"/>
      <c r="P39" s="69"/>
      <c r="Q39" s="69"/>
      <c r="R39" s="69"/>
      <c r="S39" s="69"/>
      <c r="T39" s="69"/>
      <c r="U39" s="69"/>
    </row>
    <row r="40" spans="1:29" s="5" customFormat="1" ht="21" x14ac:dyDescent="0.4">
      <c r="A40" s="555"/>
      <c r="B40" s="287"/>
      <c r="C40" s="274" t="s">
        <v>234</v>
      </c>
      <c r="D40" s="270"/>
      <c r="E40" s="262"/>
      <c r="F40" s="276">
        <f>IF('Gårdens info'!$D$38&gt;0,J40/'Gårdens info'!$D$38,0)</f>
        <v>0</v>
      </c>
      <c r="G40" s="119" t="s">
        <v>57</v>
      </c>
      <c r="H40" s="277">
        <f>IF('Gårdens info'!$G$38&gt;0,F40/'Gårdens info'!$G$38,0)</f>
        <v>0</v>
      </c>
      <c r="I40" s="119" t="s">
        <v>206</v>
      </c>
      <c r="J40" s="237" t="e">
        <f>Egendom!DX61</f>
        <v>#DIV/0!</v>
      </c>
      <c r="K40" s="119" t="s">
        <v>834</v>
      </c>
      <c r="L40" s="267"/>
      <c r="M40" s="259"/>
    </row>
    <row r="41" spans="1:29" s="5" customFormat="1" ht="20.399999999999999" x14ac:dyDescent="0.35">
      <c r="A41" s="555"/>
      <c r="B41" s="289"/>
      <c r="C41" s="278" t="s">
        <v>54</v>
      </c>
      <c r="D41" s="279"/>
      <c r="E41" s="262"/>
      <c r="F41" s="280">
        <f>SUM(F37:F40)</f>
        <v>0</v>
      </c>
      <c r="G41" s="119" t="s">
        <v>57</v>
      </c>
      <c r="H41" s="285">
        <f t="shared" ref="H41:J41" si="3">SUM(H37:H40)</f>
        <v>0</v>
      </c>
      <c r="I41" s="119" t="s">
        <v>206</v>
      </c>
      <c r="J41" s="280" t="e">
        <f t="shared" si="3"/>
        <v>#DIV/0!</v>
      </c>
      <c r="K41" s="119" t="s">
        <v>834</v>
      </c>
      <c r="L41" s="281"/>
      <c r="M41" s="259"/>
    </row>
    <row r="42" spans="1:29" s="5" customFormat="1" ht="21" x14ac:dyDescent="0.4">
      <c r="A42" s="555"/>
      <c r="B42" s="287"/>
      <c r="C42" s="274"/>
      <c r="D42" s="270"/>
      <c r="E42" s="262"/>
      <c r="F42" s="276"/>
      <c r="G42" s="119"/>
      <c r="H42" s="277"/>
      <c r="I42" s="119"/>
      <c r="J42" s="237"/>
      <c r="K42" s="119"/>
      <c r="L42" s="267"/>
      <c r="M42" s="259"/>
      <c r="AB42"/>
      <c r="AC42"/>
    </row>
    <row r="43" spans="1:29" s="5" customFormat="1" ht="43.2" customHeight="1" x14ac:dyDescent="0.3">
      <c r="A43" s="555"/>
      <c r="B43" s="1081" t="s">
        <v>355</v>
      </c>
      <c r="C43" s="1082"/>
      <c r="D43" s="1082"/>
      <c r="E43" s="262"/>
      <c r="F43" s="276"/>
      <c r="G43" s="119"/>
      <c r="H43" s="277"/>
      <c r="I43" s="119"/>
      <c r="J43" s="237"/>
      <c r="K43" s="119"/>
      <c r="L43" s="267"/>
      <c r="M43" s="259"/>
    </row>
    <row r="44" spans="1:29" ht="21" x14ac:dyDescent="0.4">
      <c r="B44" s="287"/>
      <c r="C44" s="274" t="s">
        <v>229</v>
      </c>
      <c r="D44" s="270"/>
      <c r="E44" s="262"/>
      <c r="F44" s="276">
        <f>IF('Gårdens info'!$D$38&gt;0,J44/'Gårdens info'!$D$38,0)</f>
        <v>0</v>
      </c>
      <c r="G44" s="119" t="s">
        <v>57</v>
      </c>
      <c r="H44" s="277">
        <f>IF('Gårdens info'!$G$38&gt;0,F44/'Gårdens info'!$G$38,0)</f>
        <v>0</v>
      </c>
      <c r="I44" s="119" t="s">
        <v>206</v>
      </c>
      <c r="J44" s="237">
        <f>Egendom!BD90</f>
        <v>0</v>
      </c>
      <c r="K44" s="119" t="s">
        <v>834</v>
      </c>
      <c r="L44" s="267"/>
      <c r="M44" s="259"/>
      <c r="N44" s="5"/>
      <c r="O44" s="5"/>
      <c r="P44" s="5"/>
      <c r="Q44" s="5"/>
      <c r="R44" s="5"/>
      <c r="S44" s="5"/>
      <c r="T44" s="5"/>
      <c r="U44" s="5"/>
      <c r="AB44" s="5"/>
      <c r="AC44" s="5"/>
    </row>
    <row r="45" spans="1:29" s="5" customFormat="1" ht="21" x14ac:dyDescent="0.4">
      <c r="A45" s="555"/>
      <c r="B45" s="287"/>
      <c r="C45" s="274" t="s">
        <v>230</v>
      </c>
      <c r="D45" s="270"/>
      <c r="E45" s="262"/>
      <c r="F45" s="276">
        <f>IF('Gårdens info'!$D$38&gt;0,J45/'Gårdens info'!$D$38,0)</f>
        <v>0</v>
      </c>
      <c r="G45" s="119" t="s">
        <v>57</v>
      </c>
      <c r="H45" s="277">
        <f>IF('Gårdens info'!$G$38&gt;0,F45/'Gårdens info'!$G$38,0)</f>
        <v>0</v>
      </c>
      <c r="I45" s="119" t="s">
        <v>206</v>
      </c>
      <c r="J45" s="237">
        <f>Egendom!CB90</f>
        <v>0</v>
      </c>
      <c r="K45" s="119" t="s">
        <v>834</v>
      </c>
      <c r="L45" s="267"/>
      <c r="M45" s="259"/>
    </row>
    <row r="46" spans="1:29" s="5" customFormat="1" ht="17.399999999999999" customHeight="1" x14ac:dyDescent="0.3">
      <c r="A46" s="555"/>
      <c r="B46" s="287"/>
      <c r="C46" s="1083" t="s">
        <v>232</v>
      </c>
      <c r="D46" s="1083"/>
      <c r="E46" s="262"/>
      <c r="F46" s="276">
        <f>IF('Gårdens info'!$D$38&gt;0,J46/'Gårdens info'!$D$38,0)</f>
        <v>0</v>
      </c>
      <c r="G46" s="119" t="s">
        <v>57</v>
      </c>
      <c r="H46" s="277">
        <f>IF('Gårdens info'!$G$38&gt;0,F46/'Gårdens info'!$G$38,0)</f>
        <v>0</v>
      </c>
      <c r="I46" s="119" t="s">
        <v>206</v>
      </c>
      <c r="J46" s="237">
        <f>Egendom!CZ90</f>
        <v>0</v>
      </c>
      <c r="K46" s="119" t="s">
        <v>834</v>
      </c>
      <c r="L46" s="267"/>
      <c r="M46" s="259"/>
      <c r="N46"/>
      <c r="O46"/>
      <c r="P46"/>
      <c r="Q46"/>
      <c r="R46"/>
      <c r="S46"/>
      <c r="T46"/>
      <c r="U46"/>
    </row>
    <row r="47" spans="1:29" s="5" customFormat="1" ht="21" x14ac:dyDescent="0.4">
      <c r="A47" s="555"/>
      <c r="B47" s="287"/>
      <c r="C47" s="274" t="s">
        <v>234</v>
      </c>
      <c r="D47" s="270"/>
      <c r="E47" s="262"/>
      <c r="F47" s="276">
        <f>IF('Gårdens info'!$D$38&gt;0,J47/'Gårdens info'!$D$38,0)</f>
        <v>0</v>
      </c>
      <c r="G47" s="119" t="s">
        <v>57</v>
      </c>
      <c r="H47" s="277">
        <f>IF('Gårdens info'!$G$38&gt;0,F47/'Gårdens info'!$G$38,0)</f>
        <v>0</v>
      </c>
      <c r="I47" s="119" t="s">
        <v>206</v>
      </c>
      <c r="J47" s="237">
        <f>Egendom!DX90</f>
        <v>0</v>
      </c>
      <c r="K47" s="119" t="s">
        <v>834</v>
      </c>
      <c r="L47" s="267"/>
      <c r="M47" s="259"/>
    </row>
    <row r="48" spans="1:29" s="5" customFormat="1" ht="20.399999999999999" x14ac:dyDescent="0.35">
      <c r="A48" s="555"/>
      <c r="B48" s="289"/>
      <c r="C48" s="278" t="s">
        <v>54</v>
      </c>
      <c r="D48" s="279"/>
      <c r="E48" s="262"/>
      <c r="F48" s="280">
        <f>SUM(F44:F47)</f>
        <v>0</v>
      </c>
      <c r="G48" s="119" t="s">
        <v>57</v>
      </c>
      <c r="H48" s="285">
        <f t="shared" ref="H48:J48" si="4">SUM(H44:H47)</f>
        <v>0</v>
      </c>
      <c r="I48" s="119" t="s">
        <v>206</v>
      </c>
      <c r="J48" s="280">
        <f t="shared" si="4"/>
        <v>0</v>
      </c>
      <c r="K48" s="119" t="s">
        <v>834</v>
      </c>
      <c r="L48" s="281"/>
      <c r="M48" s="259"/>
    </row>
    <row r="49" spans="1:29" s="5" customFormat="1" ht="21" x14ac:dyDescent="0.4">
      <c r="A49" s="555"/>
      <c r="B49" s="287"/>
      <c r="C49" s="274"/>
      <c r="D49" s="270"/>
      <c r="E49" s="262"/>
      <c r="F49" s="276"/>
      <c r="G49" s="119"/>
      <c r="H49" s="277"/>
      <c r="I49" s="119"/>
      <c r="J49" s="237"/>
      <c r="K49" s="119"/>
      <c r="L49" s="267"/>
      <c r="M49" s="259"/>
    </row>
    <row r="50" spans="1:29" s="5" customFormat="1" ht="21" x14ac:dyDescent="0.4">
      <c r="A50" s="555"/>
      <c r="B50" s="1084" t="s">
        <v>139</v>
      </c>
      <c r="C50" s="1085"/>
      <c r="D50" s="270"/>
      <c r="E50" s="262"/>
      <c r="F50" s="276"/>
      <c r="G50" s="119"/>
      <c r="H50" s="277"/>
      <c r="I50" s="119"/>
      <c r="J50" s="237"/>
      <c r="K50" s="119"/>
      <c r="L50" s="267"/>
      <c r="M50" s="259"/>
    </row>
    <row r="51" spans="1:29" s="5" customFormat="1" ht="21" x14ac:dyDescent="0.4">
      <c r="A51" s="555"/>
      <c r="B51" s="287"/>
      <c r="C51" s="274" t="s">
        <v>229</v>
      </c>
      <c r="D51" s="270"/>
      <c r="E51" s="262"/>
      <c r="F51" s="276">
        <f>IF('Gårdens info'!$D$38&gt;0,J51/'Gårdens info'!$D$38,0)</f>
        <v>0</v>
      </c>
      <c r="G51" s="119" t="s">
        <v>57</v>
      </c>
      <c r="H51" s="277">
        <f>IF('Gårdens info'!$G$38&gt;0,F51/'Gårdens info'!$G$38,0)</f>
        <v>0</v>
      </c>
      <c r="I51" s="119" t="s">
        <v>206</v>
      </c>
      <c r="J51" s="237">
        <f>Egendom!BD93</f>
        <v>0</v>
      </c>
      <c r="K51" s="119" t="s">
        <v>834</v>
      </c>
      <c r="L51" s="267"/>
      <c r="M51" s="259"/>
    </row>
    <row r="52" spans="1:29" s="5" customFormat="1" ht="19.95" customHeight="1" x14ac:dyDescent="0.4">
      <c r="A52" s="555"/>
      <c r="B52" s="287"/>
      <c r="C52" s="274" t="s">
        <v>230</v>
      </c>
      <c r="D52" s="270"/>
      <c r="E52" s="262"/>
      <c r="F52" s="276">
        <f>IF('Gårdens info'!$D$38&gt;0,J52/'Gårdens info'!$D$38,0)</f>
        <v>0</v>
      </c>
      <c r="G52" s="119" t="s">
        <v>57</v>
      </c>
      <c r="H52" s="277">
        <f>IF('Gårdens info'!$G$38&gt;0,F52/'Gårdens info'!$G$38,0)</f>
        <v>0</v>
      </c>
      <c r="I52" s="119" t="s">
        <v>206</v>
      </c>
      <c r="J52" s="237">
        <f>Egendom!CB93</f>
        <v>0</v>
      </c>
      <c r="K52" s="119" t="s">
        <v>834</v>
      </c>
      <c r="L52" s="267"/>
      <c r="M52" s="259"/>
    </row>
    <row r="53" spans="1:29" s="5" customFormat="1" ht="17.399999999999999" customHeight="1" x14ac:dyDescent="0.3">
      <c r="A53" s="555"/>
      <c r="B53" s="287"/>
      <c r="C53" s="1083" t="s">
        <v>232</v>
      </c>
      <c r="D53" s="1083"/>
      <c r="E53" s="262"/>
      <c r="F53" s="276">
        <f>IF('Gårdens info'!$D$38&gt;0,J53/'Gårdens info'!$D$38,0)</f>
        <v>0</v>
      </c>
      <c r="G53" s="119" t="s">
        <v>57</v>
      </c>
      <c r="H53" s="277">
        <f>IF('Gårdens info'!$G$38&gt;0,F53/'Gårdens info'!$G$38,0)</f>
        <v>0</v>
      </c>
      <c r="I53" s="119" t="s">
        <v>206</v>
      </c>
      <c r="J53" s="237">
        <f>Egendom!CZ93</f>
        <v>0</v>
      </c>
      <c r="K53" s="119" t="s">
        <v>834</v>
      </c>
      <c r="L53" s="267"/>
      <c r="M53" s="259"/>
    </row>
    <row r="54" spans="1:29" s="5" customFormat="1" ht="15.6" x14ac:dyDescent="0.3">
      <c r="A54" s="555"/>
      <c r="B54" s="286"/>
      <c r="C54" s="261" t="s">
        <v>54</v>
      </c>
      <c r="D54" s="261"/>
      <c r="E54" s="261"/>
      <c r="F54" s="280">
        <f>SUM(F51:F53)</f>
        <v>0</v>
      </c>
      <c r="G54" s="119" t="s">
        <v>57</v>
      </c>
      <c r="H54" s="285">
        <f t="shared" ref="H54:J54" si="5">SUM(H51:H53)</f>
        <v>0</v>
      </c>
      <c r="I54" s="119" t="s">
        <v>206</v>
      </c>
      <c r="J54" s="280">
        <f t="shared" si="5"/>
        <v>0</v>
      </c>
      <c r="K54" s="119" t="s">
        <v>834</v>
      </c>
      <c r="L54" s="284"/>
      <c r="M54" s="290"/>
    </row>
    <row r="55" spans="1:29" s="5" customFormat="1" ht="21" customHeight="1" x14ac:dyDescent="0.4">
      <c r="A55" s="555"/>
      <c r="B55" s="1061" t="s">
        <v>191</v>
      </c>
      <c r="C55" s="1043"/>
      <c r="D55" s="1043"/>
      <c r="E55" s="262"/>
      <c r="F55" s="266">
        <f>F34+F41+F48+F54</f>
        <v>0</v>
      </c>
      <c r="G55" s="267" t="s">
        <v>57</v>
      </c>
      <c r="H55" s="268">
        <f>H34+H41+H48+H54</f>
        <v>0</v>
      </c>
      <c r="I55" s="267" t="s">
        <v>206</v>
      </c>
      <c r="J55" s="269" t="e">
        <f>J34+J41+J48+J54</f>
        <v>#DIV/0!</v>
      </c>
      <c r="K55" s="267" t="s">
        <v>834</v>
      </c>
      <c r="L55" s="267"/>
      <c r="M55" s="259"/>
    </row>
    <row r="56" spans="1:29" s="5" customFormat="1" ht="15.6" x14ac:dyDescent="0.3">
      <c r="A56" s="555"/>
      <c r="B56" s="286"/>
      <c r="C56" s="262"/>
      <c r="D56" s="262"/>
      <c r="E56" s="262"/>
      <c r="F56" s="263"/>
      <c r="G56" s="243"/>
      <c r="H56" s="264"/>
      <c r="I56" s="243"/>
      <c r="J56" s="258"/>
      <c r="K56" s="243"/>
      <c r="L56" s="265"/>
      <c r="M56" s="259"/>
    </row>
    <row r="57" spans="1:29" s="5" customFormat="1" ht="21" x14ac:dyDescent="0.4">
      <c r="A57" s="555"/>
      <c r="B57" s="257" t="s">
        <v>192</v>
      </c>
      <c r="C57" s="262"/>
      <c r="D57" s="262"/>
      <c r="E57" s="262"/>
      <c r="F57" s="263"/>
      <c r="G57" s="243"/>
      <c r="H57" s="264"/>
      <c r="I57" s="243"/>
      <c r="J57" s="258"/>
      <c r="K57" s="243"/>
      <c r="L57" s="265"/>
      <c r="M57" s="259"/>
    </row>
    <row r="58" spans="1:29" s="5" customFormat="1" ht="15" x14ac:dyDescent="0.25">
      <c r="A58" s="555"/>
      <c r="B58" s="235"/>
      <c r="C58" s="228" t="s">
        <v>192</v>
      </c>
      <c r="D58" s="236"/>
      <c r="E58" s="236"/>
      <c r="F58" s="237">
        <f>IF('Gårdens info'!D38&gt;0,H134,0)</f>
        <v>0</v>
      </c>
      <c r="G58" s="119" t="s">
        <v>57</v>
      </c>
      <c r="H58" s="238">
        <f>IF('Gårdens info'!G38&gt;0,F58/'Gårdens info'!$G$38,0)</f>
        <v>0</v>
      </c>
      <c r="I58" s="119" t="s">
        <v>206</v>
      </c>
      <c r="J58" s="237">
        <f>F58*'Gårdens info'!D38</f>
        <v>0</v>
      </c>
      <c r="K58" s="119" t="s">
        <v>834</v>
      </c>
      <c r="L58" s="236"/>
      <c r="M58" s="239"/>
    </row>
    <row r="59" spans="1:29" s="5" customFormat="1" ht="17.399999999999999" x14ac:dyDescent="0.3">
      <c r="A59" s="555"/>
      <c r="B59" s="248"/>
      <c r="C59" s="245"/>
      <c r="D59" s="249"/>
      <c r="E59" s="249"/>
      <c r="F59" s="250"/>
      <c r="G59" s="120"/>
      <c r="H59" s="249"/>
      <c r="I59" s="249"/>
      <c r="J59" s="249"/>
      <c r="L59" s="249"/>
      <c r="M59" s="234"/>
    </row>
    <row r="60" spans="1:29" s="5" customFormat="1" ht="21" customHeight="1" x14ac:dyDescent="0.4">
      <c r="A60" s="555"/>
      <c r="B60" s="1061" t="s">
        <v>192</v>
      </c>
      <c r="C60" s="1043"/>
      <c r="D60" s="1043"/>
      <c r="E60" s="262"/>
      <c r="F60" s="266">
        <f>F58</f>
        <v>0</v>
      </c>
      <c r="G60" s="267" t="s">
        <v>57</v>
      </c>
      <c r="H60" s="268">
        <f>H58</f>
        <v>0</v>
      </c>
      <c r="I60" s="267" t="s">
        <v>206</v>
      </c>
      <c r="J60" s="269">
        <f>J58</f>
        <v>0</v>
      </c>
      <c r="K60" s="267" t="s">
        <v>834</v>
      </c>
      <c r="L60" s="267"/>
      <c r="M60" s="259"/>
    </row>
    <row r="61" spans="1:29" s="5" customFormat="1" ht="21" x14ac:dyDescent="0.4">
      <c r="A61" s="555"/>
      <c r="B61" s="288"/>
      <c r="C61" s="270"/>
      <c r="D61" s="270"/>
      <c r="E61" s="262"/>
      <c r="F61" s="266"/>
      <c r="G61" s="267"/>
      <c r="H61" s="268"/>
      <c r="I61" s="267"/>
      <c r="J61" s="269"/>
      <c r="K61" s="267"/>
      <c r="L61" s="267"/>
      <c r="M61" s="259"/>
    </row>
    <row r="62" spans="1:29" s="5" customFormat="1" ht="21" customHeight="1" x14ac:dyDescent="0.4">
      <c r="A62" s="555"/>
      <c r="B62" s="1061" t="s">
        <v>822</v>
      </c>
      <c r="C62" s="1043"/>
      <c r="D62" s="1043"/>
      <c r="E62" s="262"/>
      <c r="F62" s="266">
        <f>F26+F55+F60</f>
        <v>0</v>
      </c>
      <c r="G62" s="267" t="s">
        <v>57</v>
      </c>
      <c r="H62" s="572">
        <f>H26+H55+H60</f>
        <v>0</v>
      </c>
      <c r="I62" s="267" t="s">
        <v>206</v>
      </c>
      <c r="J62" s="266" t="e">
        <f>J26+J55+J60</f>
        <v>#DIV/0!</v>
      </c>
      <c r="K62" s="267" t="s">
        <v>834</v>
      </c>
      <c r="L62" s="267"/>
      <c r="M62" s="259"/>
    </row>
    <row r="63" spans="1:29" s="5" customFormat="1" ht="21" x14ac:dyDescent="0.4">
      <c r="A63" s="555"/>
      <c r="B63" s="288"/>
      <c r="C63" s="270"/>
      <c r="D63" s="270"/>
      <c r="E63" s="262"/>
      <c r="F63" s="266"/>
      <c r="G63" s="267"/>
      <c r="H63" s="268"/>
      <c r="I63" s="267"/>
      <c r="J63" s="269"/>
      <c r="K63" s="267"/>
      <c r="L63" s="267"/>
      <c r="M63" s="259"/>
    </row>
    <row r="64" spans="1:29" s="5" customFormat="1" ht="21.6" customHeight="1" thickBot="1" x14ac:dyDescent="0.45">
      <c r="A64" s="555"/>
      <c r="B64" s="1059" t="s">
        <v>198</v>
      </c>
      <c r="C64" s="1060"/>
      <c r="D64" s="1060"/>
      <c r="E64" s="253"/>
      <c r="F64" s="292">
        <f>F11-F26-F55-F60</f>
        <v>0</v>
      </c>
      <c r="G64" s="293" t="s">
        <v>57</v>
      </c>
      <c r="H64" s="294">
        <f>H11-H26-H55-H60</f>
        <v>0.26</v>
      </c>
      <c r="I64" s="293" t="s">
        <v>206</v>
      </c>
      <c r="J64" s="292" t="e">
        <f>J11-J26-J55-J60</f>
        <v>#DIV/0!</v>
      </c>
      <c r="K64" s="293" t="s">
        <v>834</v>
      </c>
      <c r="L64" s="293"/>
      <c r="M64" s="254"/>
      <c r="AB64" s="194"/>
      <c r="AC64" s="194"/>
    </row>
    <row r="65" spans="1:29" s="5" customFormat="1" ht="21" x14ac:dyDescent="0.4">
      <c r="A65" s="555"/>
      <c r="B65" s="55"/>
      <c r="C65"/>
      <c r="D65"/>
      <c r="E65"/>
      <c r="F65"/>
      <c r="G65"/>
      <c r="H65"/>
      <c r="I65"/>
      <c r="J65"/>
      <c r="K65"/>
      <c r="L65"/>
      <c r="M65"/>
    </row>
    <row r="66" spans="1:29" s="194" customFormat="1" ht="16.2" thickBot="1" x14ac:dyDescent="0.35">
      <c r="A66" s="558"/>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555"/>
      <c r="B67" s="1078" t="s">
        <v>389</v>
      </c>
      <c r="C67" s="1079"/>
      <c r="D67" s="1079"/>
      <c r="E67" s="1080"/>
      <c r="F67"/>
      <c r="G67"/>
      <c r="H67"/>
      <c r="I67"/>
      <c r="J67"/>
      <c r="K67"/>
      <c r="L67" s="1073" t="s">
        <v>241</v>
      </c>
      <c r="M67" s="1073"/>
      <c r="AB67"/>
      <c r="AC67"/>
    </row>
    <row r="68" spans="1:29" s="5" customFormat="1" ht="21" x14ac:dyDescent="0.4">
      <c r="A68" s="555"/>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839</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179</v>
      </c>
      <c r="D71" s="44"/>
      <c r="E71" s="44"/>
      <c r="F71" s="74">
        <v>270</v>
      </c>
      <c r="G71" s="44" t="s">
        <v>8</v>
      </c>
      <c r="H71" s="74">
        <v>0.4</v>
      </c>
      <c r="I71" s="49" t="s">
        <v>206</v>
      </c>
      <c r="J71" s="191">
        <f>F71*H71</f>
        <v>108</v>
      </c>
      <c r="K71" s="44" t="s">
        <v>57</v>
      </c>
      <c r="L71" s="46"/>
      <c r="M71" s="46"/>
      <c r="AB71" s="5"/>
      <c r="AC71" s="5"/>
    </row>
    <row r="72" spans="1:29" ht="13.8" thickBot="1" x14ac:dyDescent="0.3">
      <c r="B72" s="44"/>
      <c r="C72" s="45" t="s">
        <v>823</v>
      </c>
      <c r="D72" s="46"/>
      <c r="E72" s="44"/>
      <c r="F72" s="74"/>
      <c r="G72" s="44" t="s">
        <v>8</v>
      </c>
      <c r="H72" s="74"/>
      <c r="I72" s="49" t="s">
        <v>206</v>
      </c>
      <c r="J72" s="191">
        <f>F72*H72</f>
        <v>0</v>
      </c>
      <c r="K72" s="44" t="s">
        <v>57</v>
      </c>
      <c r="L72" s="44"/>
      <c r="M72" s="46"/>
    </row>
    <row r="73" spans="1:29" s="5" customFormat="1" x14ac:dyDescent="0.25">
      <c r="A73" s="555"/>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555"/>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142"/>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142"/>
      <c r="B77" s="97"/>
      <c r="C77" s="97" t="s">
        <v>824</v>
      </c>
      <c r="D77" s="97"/>
      <c r="E77" s="97"/>
      <c r="F77" s="74">
        <v>370</v>
      </c>
      <c r="G77" s="97" t="s">
        <v>212</v>
      </c>
      <c r="H77" s="77">
        <v>0.41</v>
      </c>
      <c r="I77" s="98" t="s">
        <v>206</v>
      </c>
      <c r="J77" s="100">
        <f t="shared" ref="J77:J78" si="6">F77*H77</f>
        <v>151.69999999999999</v>
      </c>
      <c r="K77" s="97" t="s">
        <v>57</v>
      </c>
      <c r="L77" s="99"/>
      <c r="M77" s="99"/>
      <c r="AB77" s="69"/>
      <c r="AC77" s="69"/>
    </row>
    <row r="78" spans="1:29" ht="15.6" thickBot="1" x14ac:dyDescent="0.3">
      <c r="B78" s="97"/>
      <c r="C78" s="97" t="s">
        <v>741</v>
      </c>
      <c r="D78" s="97"/>
      <c r="E78" s="97"/>
      <c r="F78" s="74"/>
      <c r="G78" s="97" t="s">
        <v>212</v>
      </c>
      <c r="H78" s="77"/>
      <c r="I78" s="98" t="s">
        <v>206</v>
      </c>
      <c r="J78" s="100">
        <f t="shared" si="6"/>
        <v>0</v>
      </c>
      <c r="K78" s="97" t="s">
        <v>57</v>
      </c>
      <c r="L78" s="99"/>
      <c r="M78" s="99"/>
      <c r="N78" s="69"/>
      <c r="O78" s="69"/>
      <c r="P78" s="69"/>
      <c r="Q78" s="69"/>
      <c r="R78" s="69"/>
      <c r="S78" s="69"/>
      <c r="T78" s="69"/>
      <c r="U78" s="69"/>
      <c r="AB78" s="5"/>
      <c r="AC78" s="5"/>
    </row>
    <row r="79" spans="1:29" s="69" customFormat="1" ht="17.399999999999999" x14ac:dyDescent="0.3">
      <c r="A79" s="556"/>
      <c r="B79" s="214"/>
      <c r="C79" s="214" t="s">
        <v>635</v>
      </c>
      <c r="D79" s="214"/>
      <c r="E79" s="214"/>
      <c r="F79" s="214"/>
      <c r="G79" s="214"/>
      <c r="H79" s="214"/>
      <c r="I79" s="215"/>
      <c r="J79" s="216">
        <f>SUM(J77:J78)</f>
        <v>151.69999999999999</v>
      </c>
      <c r="K79" s="214" t="s">
        <v>57</v>
      </c>
      <c r="L79" s="214"/>
      <c r="M79" s="214"/>
      <c r="N79" s="56"/>
      <c r="O79" s="56"/>
      <c r="P79" s="56"/>
      <c r="Q79" s="56"/>
      <c r="R79" s="56"/>
      <c r="S79" s="56"/>
      <c r="T79" s="56"/>
      <c r="U79" s="56"/>
      <c r="AB79" s="5"/>
      <c r="AC79" s="5"/>
    </row>
    <row r="80" spans="1:29" s="5" customFormat="1" x14ac:dyDescent="0.25">
      <c r="A80" s="555"/>
      <c r="B80" s="97"/>
      <c r="C80" s="97"/>
      <c r="D80" s="97"/>
      <c r="E80" s="97"/>
      <c r="F80" s="97"/>
      <c r="G80" s="97"/>
      <c r="H80" s="97"/>
      <c r="I80" s="98"/>
      <c r="J80" s="100"/>
      <c r="K80" s="97"/>
      <c r="L80" s="99"/>
      <c r="M80" s="99"/>
      <c r="N80"/>
      <c r="O80"/>
      <c r="P80"/>
      <c r="Q80"/>
      <c r="R80"/>
      <c r="S80"/>
      <c r="T80"/>
      <c r="U80"/>
    </row>
    <row r="81" spans="1:29" s="5" customFormat="1" ht="15" x14ac:dyDescent="0.25">
      <c r="A81" s="555"/>
      <c r="B81"/>
      <c r="C81"/>
      <c r="D81"/>
      <c r="E81"/>
      <c r="F81"/>
      <c r="G81"/>
      <c r="H81"/>
      <c r="I81"/>
      <c r="J81"/>
      <c r="K81"/>
      <c r="L81"/>
      <c r="M81"/>
      <c r="N81" s="69"/>
      <c r="O81" s="69"/>
      <c r="P81" s="69"/>
      <c r="Q81" s="69"/>
      <c r="R81" s="69"/>
      <c r="S81" s="69"/>
      <c r="T81" s="69"/>
      <c r="U81" s="69"/>
      <c r="AB81"/>
      <c r="AC81"/>
    </row>
    <row r="82" spans="1:29" s="5" customFormat="1" ht="15.6" x14ac:dyDescent="0.3">
      <c r="A82" s="555"/>
      <c r="B82" s="85" t="s">
        <v>252</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x14ac:dyDescent="0.25">
      <c r="B85" s="171" t="s">
        <v>254</v>
      </c>
      <c r="C85" s="51"/>
      <c r="D85" s="51"/>
      <c r="E85" s="51"/>
      <c r="F85" s="53"/>
      <c r="G85" s="53"/>
      <c r="H85" s="52"/>
      <c r="I85" s="52"/>
      <c r="J85" s="58"/>
      <c r="K85" s="58"/>
      <c r="L85" s="58"/>
      <c r="M85" s="58"/>
    </row>
    <row r="86" spans="1:29" ht="13.8" thickBot="1" x14ac:dyDescent="0.3">
      <c r="B86" s="171"/>
      <c r="C86" s="51"/>
      <c r="D86" s="51"/>
      <c r="E86" s="51"/>
      <c r="F86" s="53"/>
      <c r="G86" s="53"/>
      <c r="H86" s="52"/>
      <c r="I86" s="52"/>
      <c r="J86" s="58"/>
      <c r="K86" s="58"/>
      <c r="L86" s="58"/>
      <c r="M86" s="58"/>
    </row>
    <row r="87" spans="1:29" ht="13.8" thickBot="1" x14ac:dyDescent="0.3">
      <c r="B87" s="51"/>
      <c r="C87" s="51" t="s">
        <v>825</v>
      </c>
      <c r="D87" s="58"/>
      <c r="E87" s="51"/>
      <c r="F87" s="95">
        <v>0.8</v>
      </c>
      <c r="G87" s="53" t="s">
        <v>256</v>
      </c>
      <c r="H87" s="77">
        <v>15.32</v>
      </c>
      <c r="I87" s="52" t="s">
        <v>257</v>
      </c>
      <c r="J87" s="463">
        <f t="shared" ref="J87:J91" si="7">F87*H87</f>
        <v>12.256</v>
      </c>
      <c r="K87" s="51" t="s">
        <v>57</v>
      </c>
      <c r="L87" s="58"/>
      <c r="M87" s="58"/>
    </row>
    <row r="88" spans="1:29" ht="13.8" thickBot="1" x14ac:dyDescent="0.3">
      <c r="B88" s="51"/>
      <c r="C88" s="51" t="s">
        <v>826</v>
      </c>
      <c r="D88" s="51"/>
      <c r="E88" s="51"/>
      <c r="F88" s="95">
        <v>7.5</v>
      </c>
      <c r="G88" s="53" t="s">
        <v>260</v>
      </c>
      <c r="H88" s="77">
        <v>2.15</v>
      </c>
      <c r="I88" s="52" t="s">
        <v>261</v>
      </c>
      <c r="J88" s="463">
        <f t="shared" si="7"/>
        <v>16.125</v>
      </c>
      <c r="K88" s="51" t="s">
        <v>57</v>
      </c>
      <c r="L88" s="58"/>
      <c r="M88" s="58"/>
    </row>
    <row r="89" spans="1:29" ht="13.8" thickBot="1" x14ac:dyDescent="0.3">
      <c r="B89" s="51"/>
      <c r="C89" s="51" t="s">
        <v>827</v>
      </c>
      <c r="D89" s="51"/>
      <c r="E89" s="51"/>
      <c r="F89" s="95">
        <v>0.3</v>
      </c>
      <c r="G89" s="53" t="s">
        <v>260</v>
      </c>
      <c r="H89" s="77">
        <v>42.34</v>
      </c>
      <c r="I89" s="52" t="s">
        <v>257</v>
      </c>
      <c r="J89" s="463">
        <f t="shared" si="7"/>
        <v>12.702</v>
      </c>
      <c r="K89" s="51" t="s">
        <v>57</v>
      </c>
      <c r="L89" s="58"/>
      <c r="M89" s="58"/>
    </row>
    <row r="90" spans="1:29" ht="13.8" thickBot="1" x14ac:dyDescent="0.3">
      <c r="B90" s="51"/>
      <c r="C90" s="51" t="s">
        <v>265</v>
      </c>
      <c r="D90" s="51"/>
      <c r="E90" s="51"/>
      <c r="F90" s="95"/>
      <c r="G90" s="53" t="s">
        <v>256</v>
      </c>
      <c r="H90" s="77"/>
      <c r="I90" s="52" t="s">
        <v>257</v>
      </c>
      <c r="J90" s="463">
        <f t="shared" si="7"/>
        <v>0</v>
      </c>
      <c r="K90" s="51" t="s">
        <v>57</v>
      </c>
      <c r="L90" s="58"/>
      <c r="M90" s="58"/>
    </row>
    <row r="91" spans="1:29" ht="13.8" thickBot="1" x14ac:dyDescent="0.3">
      <c r="B91" s="51"/>
      <c r="C91" s="51" t="s">
        <v>265</v>
      </c>
      <c r="D91" s="51"/>
      <c r="E91" s="51"/>
      <c r="F91" s="95"/>
      <c r="G91" s="53" t="s">
        <v>256</v>
      </c>
      <c r="H91" s="77"/>
      <c r="I91" s="52" t="s">
        <v>257</v>
      </c>
      <c r="J91" s="463">
        <f t="shared" si="7"/>
        <v>0</v>
      </c>
      <c r="K91" s="51" t="s">
        <v>57</v>
      </c>
      <c r="L91" s="58"/>
      <c r="M91" s="58"/>
    </row>
    <row r="92" spans="1:29" x14ac:dyDescent="0.25">
      <c r="B92" s="51"/>
      <c r="C92" s="51"/>
      <c r="D92" s="51"/>
      <c r="E92" s="51"/>
      <c r="F92" s="53"/>
      <c r="G92" s="53"/>
      <c r="H92" s="52"/>
      <c r="I92" s="52"/>
      <c r="J92" s="58"/>
      <c r="K92" s="51"/>
      <c r="L92" s="58"/>
      <c r="M92" s="58"/>
    </row>
    <row r="93" spans="1:29" ht="13.8" thickBot="1" x14ac:dyDescent="0.3">
      <c r="B93" s="171" t="s">
        <v>266</v>
      </c>
      <c r="C93" s="51"/>
      <c r="D93" s="51"/>
      <c r="E93" s="51"/>
      <c r="F93" s="53"/>
      <c r="G93" s="53"/>
      <c r="H93" s="52"/>
      <c r="I93" s="52"/>
      <c r="J93" s="58"/>
      <c r="K93" s="51"/>
      <c r="L93" s="58"/>
      <c r="M93" s="58"/>
    </row>
    <row r="94" spans="1:29" ht="13.8" thickBot="1" x14ac:dyDescent="0.3">
      <c r="B94" s="51"/>
      <c r="C94" s="51" t="s">
        <v>267</v>
      </c>
      <c r="D94" s="51"/>
      <c r="E94" s="51"/>
      <c r="F94" s="95"/>
      <c r="G94" s="53" t="s">
        <v>256</v>
      </c>
      <c r="H94" s="95"/>
      <c r="I94" s="52" t="s">
        <v>257</v>
      </c>
      <c r="J94" s="58">
        <f t="shared" ref="J94:J96" si="8">F94*H94</f>
        <v>0</v>
      </c>
      <c r="K94" s="51" t="s">
        <v>57</v>
      </c>
      <c r="L94" s="58"/>
      <c r="M94" s="58"/>
    </row>
    <row r="95" spans="1:29" ht="13.8" thickBot="1" x14ac:dyDescent="0.3">
      <c r="B95" s="51"/>
      <c r="C95" s="51" t="s">
        <v>267</v>
      </c>
      <c r="D95" s="51"/>
      <c r="E95" s="51"/>
      <c r="F95" s="95"/>
      <c r="G95" s="53" t="s">
        <v>256</v>
      </c>
      <c r="H95" s="95"/>
      <c r="I95" s="52" t="s">
        <v>257</v>
      </c>
      <c r="J95" s="58">
        <f t="shared" si="8"/>
        <v>0</v>
      </c>
      <c r="K95" s="51" t="s">
        <v>57</v>
      </c>
      <c r="L95" s="58"/>
      <c r="M95" s="58"/>
      <c r="AB95" s="5"/>
      <c r="AC95" s="5"/>
    </row>
    <row r="96" spans="1:29" ht="13.8" thickBot="1" x14ac:dyDescent="0.3">
      <c r="B96" s="51"/>
      <c r="C96" s="51" t="s">
        <v>267</v>
      </c>
      <c r="D96" s="51"/>
      <c r="E96" s="51"/>
      <c r="F96" s="95"/>
      <c r="G96" s="53" t="s">
        <v>256</v>
      </c>
      <c r="H96" s="95"/>
      <c r="I96" s="52" t="s">
        <v>257</v>
      </c>
      <c r="J96" s="58">
        <f t="shared" si="8"/>
        <v>0</v>
      </c>
      <c r="K96" s="51" t="s">
        <v>57</v>
      </c>
      <c r="L96" s="58"/>
      <c r="M96" s="58"/>
    </row>
    <row r="97" spans="1:29" s="5" customFormat="1" x14ac:dyDescent="0.25">
      <c r="A97" s="555"/>
      <c r="B97" s="195"/>
      <c r="C97" s="195" t="s">
        <v>54</v>
      </c>
      <c r="D97" s="195"/>
      <c r="E97" s="195"/>
      <c r="F97" s="196"/>
      <c r="G97" s="196"/>
      <c r="H97" s="196"/>
      <c r="I97" s="197"/>
      <c r="J97" s="197">
        <f>SUM(J87:J96)</f>
        <v>41.082999999999998</v>
      </c>
      <c r="K97" s="195" t="s">
        <v>57</v>
      </c>
      <c r="L97" s="195"/>
      <c r="M97" s="195"/>
      <c r="AB97"/>
      <c r="AC97"/>
    </row>
    <row r="98" spans="1:29" x14ac:dyDescent="0.25">
      <c r="B98" s="51"/>
      <c r="C98" s="51"/>
      <c r="D98" s="51"/>
      <c r="E98" s="51"/>
      <c r="F98" s="53"/>
      <c r="G98" s="53"/>
      <c r="H98" s="52"/>
      <c r="I98" s="52"/>
      <c r="J98" s="58"/>
      <c r="K98" s="51"/>
      <c r="L98" s="58"/>
      <c r="M98" s="58"/>
    </row>
    <row r="99" spans="1:29" x14ac:dyDescent="0.25">
      <c r="A99" s="559"/>
    </row>
    <row r="100" spans="1:29" ht="15.6" x14ac:dyDescent="0.3">
      <c r="A100" s="559"/>
      <c r="B100" s="176" t="s">
        <v>275</v>
      </c>
      <c r="C100" s="177"/>
      <c r="D100" s="177"/>
      <c r="E100" s="177"/>
      <c r="F100" s="1067" t="s">
        <v>114</v>
      </c>
      <c r="G100" s="1067"/>
      <c r="H100" s="1067" t="s">
        <v>113</v>
      </c>
      <c r="I100" s="1067"/>
      <c r="J100" s="1067" t="s">
        <v>243</v>
      </c>
      <c r="K100" s="1067"/>
      <c r="L100" s="179"/>
      <c r="M100" s="179"/>
    </row>
    <row r="101" spans="1:29" ht="13.8" thickBot="1" x14ac:dyDescent="0.3">
      <c r="A101" s="559"/>
      <c r="B101" s="177"/>
      <c r="C101" s="177"/>
      <c r="D101" s="177"/>
      <c r="E101" s="177"/>
      <c r="F101" s="177"/>
      <c r="G101" s="177"/>
      <c r="H101" s="178"/>
      <c r="I101" s="178"/>
      <c r="J101" s="179"/>
      <c r="K101" s="179"/>
      <c r="L101" s="179"/>
      <c r="M101" s="179"/>
    </row>
    <row r="102" spans="1:29" ht="13.8" thickBot="1" x14ac:dyDescent="0.3">
      <c r="A102" s="559"/>
      <c r="B102" s="177"/>
      <c r="C102" s="177" t="s">
        <v>828</v>
      </c>
      <c r="D102" s="179"/>
      <c r="E102" s="177"/>
      <c r="F102" s="74">
        <f>'Gårdens info'!D38</f>
        <v>0</v>
      </c>
      <c r="G102" s="177" t="s">
        <v>7</v>
      </c>
      <c r="H102" s="77">
        <v>80</v>
      </c>
      <c r="I102" s="178" t="s">
        <v>57</v>
      </c>
      <c r="J102" s="180">
        <f t="shared" ref="J102:J105" si="9">F102*H102</f>
        <v>0</v>
      </c>
      <c r="K102" s="177" t="s">
        <v>57</v>
      </c>
      <c r="L102" s="179"/>
      <c r="M102" s="179"/>
    </row>
    <row r="103" spans="1:29" ht="13.8" thickBot="1" x14ac:dyDescent="0.3">
      <c r="A103" s="559"/>
      <c r="B103" s="177"/>
      <c r="C103" s="177" t="s">
        <v>829</v>
      </c>
      <c r="D103" s="179"/>
      <c r="E103" s="177"/>
      <c r="F103" s="74">
        <f>'Gårdens info'!D39</f>
        <v>0</v>
      </c>
      <c r="G103" s="177" t="s">
        <v>7</v>
      </c>
      <c r="H103" s="76">
        <f>45*7</f>
        <v>315</v>
      </c>
      <c r="I103" s="178" t="s">
        <v>57</v>
      </c>
      <c r="J103" s="180">
        <f t="shared" si="9"/>
        <v>0</v>
      </c>
      <c r="K103" s="177" t="s">
        <v>57</v>
      </c>
      <c r="L103" s="179"/>
      <c r="M103" s="179"/>
    </row>
    <row r="104" spans="1:29" ht="13.8" thickBot="1" x14ac:dyDescent="0.3">
      <c r="B104" s="177"/>
      <c r="C104" s="177" t="s">
        <v>276</v>
      </c>
      <c r="D104" s="177"/>
      <c r="E104" s="177"/>
      <c r="F104" s="74"/>
      <c r="G104" s="177" t="s">
        <v>7</v>
      </c>
      <c r="H104" s="77"/>
      <c r="I104" s="178" t="s">
        <v>57</v>
      </c>
      <c r="J104" s="180">
        <f t="shared" si="9"/>
        <v>0</v>
      </c>
      <c r="K104" s="177" t="s">
        <v>57</v>
      </c>
      <c r="L104" s="179"/>
      <c r="M104" s="179"/>
      <c r="AB104" s="5"/>
      <c r="AC104" s="5"/>
    </row>
    <row r="105" spans="1:29" ht="13.8" thickBot="1" x14ac:dyDescent="0.3">
      <c r="B105" s="177"/>
      <c r="C105" s="177" t="s">
        <v>276</v>
      </c>
      <c r="D105" s="177"/>
      <c r="E105" s="177"/>
      <c r="F105" s="74"/>
      <c r="G105" s="177" t="s">
        <v>7</v>
      </c>
      <c r="H105" s="77"/>
      <c r="I105" s="178" t="s">
        <v>57</v>
      </c>
      <c r="J105" s="180">
        <f t="shared" si="9"/>
        <v>0</v>
      </c>
      <c r="K105" s="177" t="s">
        <v>57</v>
      </c>
      <c r="L105" s="179"/>
      <c r="M105" s="179"/>
    </row>
    <row r="106" spans="1:29" s="5" customFormat="1" x14ac:dyDescent="0.25">
      <c r="A106" s="555"/>
      <c r="B106" s="204"/>
      <c r="C106" s="204" t="s">
        <v>54</v>
      </c>
      <c r="D106" s="204"/>
      <c r="E106" s="204"/>
      <c r="F106" s="204"/>
      <c r="G106" s="204"/>
      <c r="H106" s="205"/>
      <c r="I106" s="205"/>
      <c r="J106" s="206">
        <f>SUM(J102:J105)</f>
        <v>0</v>
      </c>
      <c r="K106" s="204" t="s">
        <v>57</v>
      </c>
      <c r="L106" s="204"/>
      <c r="M106" s="204"/>
      <c r="N106"/>
      <c r="O106"/>
      <c r="P106"/>
      <c r="Q106"/>
      <c r="R106"/>
      <c r="S106"/>
      <c r="T106"/>
      <c r="U106"/>
      <c r="AB106"/>
      <c r="AC106"/>
    </row>
    <row r="107" spans="1:29" x14ac:dyDescent="0.25">
      <c r="B107" s="177"/>
      <c r="C107" s="177"/>
      <c r="D107" s="177"/>
      <c r="E107" s="177"/>
      <c r="F107" s="177"/>
      <c r="G107" s="177"/>
      <c r="H107" s="178"/>
      <c r="I107" s="178"/>
      <c r="J107" s="180"/>
      <c r="K107" s="177"/>
      <c r="L107" s="179"/>
      <c r="M107" s="179"/>
    </row>
    <row r="108" spans="1:29" ht="30" customHeight="1" x14ac:dyDescent="0.25">
      <c r="N108" s="5"/>
      <c r="O108" s="5"/>
      <c r="P108" s="5"/>
      <c r="Q108" s="5"/>
      <c r="R108" s="5"/>
      <c r="S108" s="5"/>
      <c r="T108" s="5"/>
      <c r="U108" s="5"/>
    </row>
    <row r="109" spans="1:29" ht="15.6" x14ac:dyDescent="0.3">
      <c r="B109" s="181" t="s">
        <v>830</v>
      </c>
      <c r="C109" s="182"/>
      <c r="D109" s="182"/>
      <c r="E109" s="183"/>
      <c r="F109" s="182" t="s">
        <v>114</v>
      </c>
      <c r="G109" s="184"/>
      <c r="H109" s="184" t="s">
        <v>113</v>
      </c>
      <c r="I109" s="182"/>
      <c r="J109" s="182" t="s">
        <v>243</v>
      </c>
      <c r="K109" s="185"/>
      <c r="L109" s="185"/>
      <c r="M109" s="185"/>
    </row>
    <row r="110" spans="1:29" ht="16.2" thickBot="1" x14ac:dyDescent="0.35">
      <c r="B110" s="181"/>
      <c r="C110" s="182"/>
      <c r="D110" s="182"/>
      <c r="E110" s="183"/>
      <c r="F110" s="182"/>
      <c r="G110" s="184"/>
      <c r="H110" s="184"/>
      <c r="I110" s="182"/>
      <c r="J110" s="182"/>
      <c r="K110" s="185"/>
      <c r="L110" s="185"/>
      <c r="M110" s="185"/>
    </row>
    <row r="111" spans="1:29" ht="13.8" thickBot="1" x14ac:dyDescent="0.3">
      <c r="B111" s="182"/>
      <c r="C111" s="182" t="s">
        <v>278</v>
      </c>
      <c r="D111" s="185"/>
      <c r="E111" s="186"/>
      <c r="F111" s="74"/>
      <c r="G111" s="187" t="s">
        <v>279</v>
      </c>
      <c r="H111" s="74"/>
      <c r="I111" s="188" t="s">
        <v>280</v>
      </c>
      <c r="J111" s="185">
        <f>H111*F111</f>
        <v>0</v>
      </c>
      <c r="K111" s="188" t="s">
        <v>57</v>
      </c>
      <c r="L111" s="185"/>
      <c r="M111" s="185"/>
    </row>
    <row r="112" spans="1:29" ht="13.8" thickBot="1" x14ac:dyDescent="0.3">
      <c r="B112" s="182"/>
      <c r="C112" s="182" t="s">
        <v>698</v>
      </c>
      <c r="D112" s="188">
        <f>F134/2</f>
        <v>4.5</v>
      </c>
      <c r="E112" s="182" t="s">
        <v>282</v>
      </c>
      <c r="F112" s="74">
        <f>+D112*8</f>
        <v>36</v>
      </c>
      <c r="G112" s="184" t="s">
        <v>256</v>
      </c>
      <c r="H112" s="74">
        <v>0.83</v>
      </c>
      <c r="I112" s="188" t="s">
        <v>257</v>
      </c>
      <c r="J112" s="185">
        <f>H112*F112</f>
        <v>29.88</v>
      </c>
      <c r="K112" s="188" t="s">
        <v>57</v>
      </c>
      <c r="L112" s="185"/>
      <c r="M112" s="185"/>
    </row>
    <row r="113" spans="1:29" ht="13.8" thickBot="1" x14ac:dyDescent="0.3">
      <c r="B113" s="182"/>
      <c r="C113" s="182" t="s">
        <v>686</v>
      </c>
      <c r="D113" s="188">
        <f>D112</f>
        <v>4.5</v>
      </c>
      <c r="E113" s="182" t="s">
        <v>282</v>
      </c>
      <c r="F113" s="74">
        <v>11.88</v>
      </c>
      <c r="G113" s="184" t="s">
        <v>212</v>
      </c>
      <c r="H113" s="74">
        <v>4</v>
      </c>
      <c r="I113" s="188" t="s">
        <v>206</v>
      </c>
      <c r="J113" s="185">
        <f t="shared" ref="J113:J117" si="10">H113*F113</f>
        <v>47.52</v>
      </c>
      <c r="K113" s="188" t="s">
        <v>57</v>
      </c>
      <c r="L113" s="185"/>
      <c r="M113" s="185"/>
    </row>
    <row r="114" spans="1:29" ht="13.8" thickBot="1" x14ac:dyDescent="0.3">
      <c r="B114" s="182"/>
      <c r="C114" s="182" t="s">
        <v>284</v>
      </c>
      <c r="D114" s="185"/>
      <c r="E114" s="188"/>
      <c r="F114" s="74"/>
      <c r="G114" s="184" t="s">
        <v>256</v>
      </c>
      <c r="H114" s="74"/>
      <c r="I114" s="188" t="s">
        <v>257</v>
      </c>
      <c r="J114" s="185">
        <f t="shared" si="10"/>
        <v>0</v>
      </c>
      <c r="K114" s="188" t="s">
        <v>57</v>
      </c>
      <c r="L114" s="185"/>
      <c r="M114" s="185"/>
    </row>
    <row r="115" spans="1:29" ht="13.8" thickBot="1" x14ac:dyDescent="0.3">
      <c r="B115" s="182"/>
      <c r="C115" s="182" t="s">
        <v>286</v>
      </c>
      <c r="D115" s="185"/>
      <c r="E115" s="188"/>
      <c r="F115" s="74"/>
      <c r="G115" s="184" t="s">
        <v>256</v>
      </c>
      <c r="H115" s="74"/>
      <c r="I115" s="188" t="s">
        <v>257</v>
      </c>
      <c r="J115" s="185">
        <f t="shared" si="10"/>
        <v>0</v>
      </c>
      <c r="K115" s="188" t="s">
        <v>57</v>
      </c>
      <c r="L115" s="185"/>
      <c r="M115" s="185"/>
    </row>
    <row r="116" spans="1:29" ht="13.8" thickBot="1" x14ac:dyDescent="0.3">
      <c r="B116" s="182"/>
      <c r="C116" s="182" t="s">
        <v>286</v>
      </c>
      <c r="D116" s="185"/>
      <c r="E116" s="188"/>
      <c r="F116" s="74"/>
      <c r="G116" s="184"/>
      <c r="H116" s="74"/>
      <c r="I116" s="188"/>
      <c r="J116" s="185">
        <f t="shared" si="10"/>
        <v>0</v>
      </c>
      <c r="K116" s="188" t="s">
        <v>57</v>
      </c>
      <c r="L116" s="185"/>
      <c r="M116" s="185"/>
      <c r="AB116" s="5"/>
      <c r="AC116" s="5"/>
    </row>
    <row r="117" spans="1:29" ht="13.8" thickBot="1" x14ac:dyDescent="0.3">
      <c r="B117" s="185"/>
      <c r="C117" s="182" t="s">
        <v>286</v>
      </c>
      <c r="D117" s="185"/>
      <c r="E117" s="185"/>
      <c r="F117" s="74"/>
      <c r="G117" s="185"/>
      <c r="H117" s="74"/>
      <c r="I117" s="185"/>
      <c r="J117" s="185">
        <f t="shared" si="10"/>
        <v>0</v>
      </c>
      <c r="K117" s="188" t="s">
        <v>57</v>
      </c>
      <c r="L117" s="185"/>
      <c r="M117" s="185"/>
    </row>
    <row r="118" spans="1:29" s="5" customFormat="1" x14ac:dyDescent="0.25">
      <c r="A118" s="555"/>
      <c r="B118" s="207"/>
      <c r="C118" s="207" t="s">
        <v>54</v>
      </c>
      <c r="D118" s="207"/>
      <c r="E118" s="207"/>
      <c r="F118" s="207"/>
      <c r="G118" s="207"/>
      <c r="H118" s="207"/>
      <c r="I118" s="207"/>
      <c r="J118" s="207">
        <f>SUM(J111:J117)</f>
        <v>77.400000000000006</v>
      </c>
      <c r="K118" s="208" t="s">
        <v>57</v>
      </c>
      <c r="L118" s="207"/>
      <c r="M118" s="207"/>
      <c r="AB118"/>
      <c r="AC118"/>
    </row>
    <row r="119" spans="1:29" x14ac:dyDescent="0.25">
      <c r="B119" s="185"/>
      <c r="C119" s="185"/>
      <c r="D119" s="185"/>
      <c r="E119" s="185"/>
      <c r="F119" s="185"/>
      <c r="G119" s="185"/>
      <c r="H119" s="185"/>
      <c r="I119" s="185"/>
      <c r="J119" s="185"/>
      <c r="K119" s="185"/>
      <c r="L119" s="185"/>
      <c r="M119" s="185"/>
    </row>
    <row r="121" spans="1:29" ht="15.6" x14ac:dyDescent="0.3">
      <c r="B121" s="88" t="s">
        <v>287</v>
      </c>
      <c r="C121" s="79"/>
      <c r="D121" s="79"/>
      <c r="E121" s="79"/>
      <c r="F121" s="79"/>
      <c r="G121" s="79"/>
      <c r="H121" s="79"/>
      <c r="I121" s="79"/>
      <c r="J121" s="79"/>
      <c r="K121" s="79"/>
      <c r="L121" s="79"/>
      <c r="M121" s="79"/>
    </row>
    <row r="122" spans="1:29" ht="15.6" x14ac:dyDescent="0.3">
      <c r="B122" s="88"/>
      <c r="C122" s="79"/>
      <c r="D122" s="79"/>
      <c r="E122" s="79"/>
      <c r="F122" s="79"/>
      <c r="G122" s="79"/>
      <c r="H122" s="79"/>
      <c r="I122" s="79"/>
      <c r="J122" s="79"/>
      <c r="K122" s="79"/>
      <c r="L122" s="79"/>
      <c r="M122" s="79"/>
      <c r="AB122" s="5"/>
      <c r="AC122" s="5"/>
    </row>
    <row r="123" spans="1:29" ht="15" customHeight="1" x14ac:dyDescent="0.25">
      <c r="B123" s="1096" t="s">
        <v>699</v>
      </c>
      <c r="C123" s="1096"/>
      <c r="D123" s="1096"/>
      <c r="E123" s="1096"/>
      <c r="F123" s="1096"/>
      <c r="G123" s="1096"/>
      <c r="H123" s="1096"/>
      <c r="I123" s="1096"/>
      <c r="J123" s="1096"/>
      <c r="K123" s="1096"/>
      <c r="L123" s="1096"/>
      <c r="M123" s="1096"/>
    </row>
    <row r="124" spans="1:29" s="5" customFormat="1" ht="15.6" x14ac:dyDescent="0.3">
      <c r="A124" s="555"/>
      <c r="B124" s="88"/>
      <c r="C124" s="79"/>
      <c r="D124" s="79"/>
      <c r="E124" s="83"/>
      <c r="F124" s="83"/>
      <c r="G124" s="83"/>
      <c r="H124" s="84"/>
      <c r="I124" s="84"/>
      <c r="J124" s="83"/>
      <c r="K124" s="83"/>
      <c r="L124" s="84"/>
      <c r="M124" s="84"/>
      <c r="N124"/>
      <c r="O124"/>
      <c r="P124"/>
      <c r="Q124"/>
      <c r="R124"/>
      <c r="S124"/>
      <c r="T124"/>
      <c r="U124"/>
      <c r="AB124"/>
      <c r="AC124"/>
    </row>
    <row r="125" spans="1:29" ht="15.6" x14ac:dyDescent="0.3">
      <c r="B125" s="88"/>
      <c r="C125" s="79"/>
      <c r="D125" s="79"/>
      <c r="E125" s="1069" t="s">
        <v>290</v>
      </c>
      <c r="F125" s="1069"/>
      <c r="G125" s="1069"/>
      <c r="H125" s="1070" t="s">
        <v>113</v>
      </c>
      <c r="I125" s="1070"/>
      <c r="J125" s="1069" t="s">
        <v>291</v>
      </c>
      <c r="K125" s="1069"/>
      <c r="L125" s="1070" t="s">
        <v>113</v>
      </c>
      <c r="M125" s="1070"/>
    </row>
    <row r="126" spans="1:29" ht="33" customHeight="1" thickBot="1" x14ac:dyDescent="0.3">
      <c r="B126" s="78"/>
      <c r="C126" s="79"/>
      <c r="D126" s="79"/>
      <c r="E126" s="79"/>
      <c r="F126" s="79"/>
      <c r="G126" s="79"/>
      <c r="H126" s="79"/>
      <c r="I126" s="79"/>
      <c r="J126" s="79"/>
      <c r="K126" s="79"/>
      <c r="L126" s="79"/>
      <c r="M126" s="79"/>
      <c r="N126" s="5"/>
      <c r="O126" s="5"/>
      <c r="P126" s="5"/>
      <c r="Q126" s="5"/>
      <c r="R126" s="5"/>
      <c r="S126" s="5"/>
      <c r="T126" s="5"/>
      <c r="U126" s="5"/>
    </row>
    <row r="127" spans="1:29" ht="13.8" thickBot="1" x14ac:dyDescent="0.3">
      <c r="B127" s="79"/>
      <c r="C127" s="80" t="s">
        <v>292</v>
      </c>
      <c r="D127" s="79"/>
      <c r="E127" s="79"/>
      <c r="F127" s="91">
        <v>2</v>
      </c>
      <c r="G127" s="82" t="s">
        <v>293</v>
      </c>
      <c r="H127" s="93">
        <v>14.5</v>
      </c>
      <c r="I127" s="82" t="s">
        <v>294</v>
      </c>
      <c r="J127" s="92"/>
      <c r="K127" s="82" t="s">
        <v>293</v>
      </c>
      <c r="L127" s="93">
        <v>14.5</v>
      </c>
      <c r="M127" s="82" t="s">
        <v>294</v>
      </c>
    </row>
    <row r="128" spans="1:29" ht="13.8" thickBot="1" x14ac:dyDescent="0.3">
      <c r="B128" s="79"/>
      <c r="C128" s="80" t="s">
        <v>831</v>
      </c>
      <c r="D128" s="79"/>
      <c r="E128" s="79"/>
      <c r="F128" s="91">
        <v>3</v>
      </c>
      <c r="G128" s="82" t="s">
        <v>293</v>
      </c>
      <c r="H128" s="90">
        <f t="shared" ref="H128:H133" si="11">$H$127</f>
        <v>14.5</v>
      </c>
      <c r="I128" s="82" t="s">
        <v>294</v>
      </c>
      <c r="J128" s="92"/>
      <c r="K128" s="82" t="s">
        <v>293</v>
      </c>
      <c r="L128" s="90">
        <f t="shared" ref="L128:L133" si="12">$L$127</f>
        <v>14.5</v>
      </c>
      <c r="M128" s="82" t="s">
        <v>294</v>
      </c>
    </row>
    <row r="129" spans="2:21" ht="13.8" thickBot="1" x14ac:dyDescent="0.3">
      <c r="B129" s="79"/>
      <c r="C129" s="80" t="s">
        <v>381</v>
      </c>
      <c r="D129" s="79"/>
      <c r="E129" s="79"/>
      <c r="F129" s="91">
        <v>2</v>
      </c>
      <c r="G129" s="82" t="s">
        <v>293</v>
      </c>
      <c r="H129" s="90">
        <f t="shared" si="11"/>
        <v>14.5</v>
      </c>
      <c r="I129" s="82" t="s">
        <v>294</v>
      </c>
      <c r="J129" s="92"/>
      <c r="K129" s="82" t="s">
        <v>293</v>
      </c>
      <c r="L129" s="90">
        <f t="shared" si="12"/>
        <v>14.5</v>
      </c>
      <c r="M129" s="82" t="s">
        <v>294</v>
      </c>
    </row>
    <row r="130" spans="2:21" ht="13.8" thickBot="1" x14ac:dyDescent="0.3">
      <c r="B130" s="79"/>
      <c r="C130" s="80" t="s">
        <v>832</v>
      </c>
      <c r="D130" s="79"/>
      <c r="E130" s="79"/>
      <c r="F130" s="91">
        <v>2</v>
      </c>
      <c r="G130" s="82" t="s">
        <v>293</v>
      </c>
      <c r="H130" s="90">
        <f t="shared" si="11"/>
        <v>14.5</v>
      </c>
      <c r="I130" s="82" t="s">
        <v>294</v>
      </c>
      <c r="J130" s="92"/>
      <c r="K130" s="82" t="s">
        <v>293</v>
      </c>
      <c r="L130" s="90">
        <f t="shared" si="12"/>
        <v>14.5</v>
      </c>
      <c r="M130" s="82" t="s">
        <v>294</v>
      </c>
    </row>
    <row r="131" spans="2:21" ht="13.8" thickBot="1" x14ac:dyDescent="0.3">
      <c r="B131" s="79"/>
      <c r="C131" s="80" t="s">
        <v>431</v>
      </c>
      <c r="D131" s="79"/>
      <c r="E131" s="79"/>
      <c r="F131" s="92"/>
      <c r="G131" s="82" t="s">
        <v>293</v>
      </c>
      <c r="H131" s="90">
        <f t="shared" si="11"/>
        <v>14.5</v>
      </c>
      <c r="I131" s="82" t="s">
        <v>294</v>
      </c>
      <c r="J131" s="75"/>
      <c r="K131" s="82" t="s">
        <v>293</v>
      </c>
      <c r="L131" s="90">
        <f t="shared" si="12"/>
        <v>14.5</v>
      </c>
      <c r="M131" s="82" t="s">
        <v>294</v>
      </c>
    </row>
    <row r="132" spans="2:21" ht="13.8" thickBot="1" x14ac:dyDescent="0.3">
      <c r="B132" s="79"/>
      <c r="C132" s="80" t="s">
        <v>431</v>
      </c>
      <c r="D132" s="79"/>
      <c r="E132" s="79"/>
      <c r="F132" s="92"/>
      <c r="G132" s="82" t="s">
        <v>293</v>
      </c>
      <c r="H132" s="90">
        <f t="shared" si="11"/>
        <v>14.5</v>
      </c>
      <c r="I132" s="82" t="s">
        <v>294</v>
      </c>
      <c r="J132" s="75"/>
      <c r="K132" s="82" t="s">
        <v>293</v>
      </c>
      <c r="L132" s="90">
        <f t="shared" si="12"/>
        <v>14.5</v>
      </c>
      <c r="M132" s="82" t="s">
        <v>294</v>
      </c>
    </row>
    <row r="133" spans="2:21" ht="13.8" thickBot="1" x14ac:dyDescent="0.3">
      <c r="B133" s="79"/>
      <c r="C133" s="80" t="s">
        <v>431</v>
      </c>
      <c r="D133" s="81"/>
      <c r="E133" s="81"/>
      <c r="F133" s="75"/>
      <c r="G133" s="82" t="s">
        <v>293</v>
      </c>
      <c r="H133" s="90">
        <f t="shared" si="11"/>
        <v>14.5</v>
      </c>
      <c r="I133" s="82" t="s">
        <v>294</v>
      </c>
      <c r="J133" s="75"/>
      <c r="K133" s="82" t="s">
        <v>293</v>
      </c>
      <c r="L133" s="90">
        <f t="shared" si="12"/>
        <v>14.5</v>
      </c>
      <c r="M133" s="82" t="s">
        <v>294</v>
      </c>
    </row>
    <row r="134" spans="2:21" x14ac:dyDescent="0.25">
      <c r="B134" s="209"/>
      <c r="C134" s="210" t="s">
        <v>54</v>
      </c>
      <c r="D134" s="211"/>
      <c r="E134" s="211"/>
      <c r="F134" s="212">
        <f>SUM(F127:F133)</f>
        <v>9</v>
      </c>
      <c r="G134" s="209" t="s">
        <v>293</v>
      </c>
      <c r="H134" s="213">
        <f>F134*H127</f>
        <v>130.5</v>
      </c>
      <c r="I134" s="209" t="s">
        <v>57</v>
      </c>
      <c r="J134" s="212">
        <f>SUM(J127:J133)</f>
        <v>0</v>
      </c>
      <c r="K134" s="209" t="s">
        <v>293</v>
      </c>
      <c r="L134" s="213">
        <f>J134*L127</f>
        <v>0</v>
      </c>
      <c r="M134" s="209" t="s">
        <v>57</v>
      </c>
    </row>
    <row r="136" spans="2:21" ht="40.200000000000003" customHeight="1" x14ac:dyDescent="0.25">
      <c r="N136" s="5"/>
      <c r="O136" s="5"/>
      <c r="P136" s="5"/>
      <c r="Q136" s="5"/>
      <c r="R136" s="5"/>
      <c r="S136" s="5"/>
      <c r="T136" s="5"/>
      <c r="U136" s="5"/>
    </row>
    <row r="139" spans="2:21" ht="37.950000000000003" customHeight="1" x14ac:dyDescent="0.25"/>
    <row r="149" spans="1:29" x14ac:dyDescent="0.25">
      <c r="AB149" s="5"/>
      <c r="AC149" s="5"/>
    </row>
    <row r="151" spans="1:29" s="5" customFormat="1" x14ac:dyDescent="0.25">
      <c r="A151" s="555"/>
      <c r="B151"/>
      <c r="C151"/>
      <c r="D151"/>
      <c r="E151"/>
      <c r="F151"/>
      <c r="G151"/>
      <c r="H151"/>
      <c r="I151"/>
      <c r="J151"/>
      <c r="K151"/>
      <c r="L151"/>
      <c r="M151"/>
      <c r="N151"/>
      <c r="O151"/>
      <c r="P151"/>
      <c r="Q151"/>
      <c r="R151"/>
      <c r="S151"/>
      <c r="T151"/>
      <c r="U151"/>
      <c r="AB151"/>
      <c r="AC151"/>
    </row>
    <row r="153" spans="1:29" x14ac:dyDescent="0.25">
      <c r="N153" s="5"/>
      <c r="O153" s="5"/>
      <c r="P153" s="5"/>
      <c r="Q153" s="5"/>
      <c r="R153" s="5"/>
      <c r="S153" s="5"/>
      <c r="T153" s="5"/>
      <c r="U153" s="5"/>
    </row>
  </sheetData>
  <mergeCells count="37">
    <mergeCell ref="B2:C2"/>
    <mergeCell ref="B4:L4"/>
    <mergeCell ref="B11:D11"/>
    <mergeCell ref="B55:D55"/>
    <mergeCell ref="B24:E24"/>
    <mergeCell ref="B25:E25"/>
    <mergeCell ref="B26:D26"/>
    <mergeCell ref="B29:C29"/>
    <mergeCell ref="C32:D32"/>
    <mergeCell ref="B36:D36"/>
    <mergeCell ref="C39:D39"/>
    <mergeCell ref="B43:D43"/>
    <mergeCell ref="C46:D46"/>
    <mergeCell ref="B50:C50"/>
    <mergeCell ref="C53:D53"/>
    <mergeCell ref="B60:D60"/>
    <mergeCell ref="B64:D64"/>
    <mergeCell ref="B67:E67"/>
    <mergeCell ref="L67:M67"/>
    <mergeCell ref="F69:G69"/>
    <mergeCell ref="H69:I69"/>
    <mergeCell ref="J69:K69"/>
    <mergeCell ref="B62:D62"/>
    <mergeCell ref="F75:G75"/>
    <mergeCell ref="H75:I75"/>
    <mergeCell ref="J75:K75"/>
    <mergeCell ref="F82:G82"/>
    <mergeCell ref="H82:I82"/>
    <mergeCell ref="J82:K82"/>
    <mergeCell ref="F100:G100"/>
    <mergeCell ref="H100:I100"/>
    <mergeCell ref="J100:K100"/>
    <mergeCell ref="B123:M123"/>
    <mergeCell ref="E125:G125"/>
    <mergeCell ref="H125:I125"/>
    <mergeCell ref="J125:K125"/>
    <mergeCell ref="L125:M125"/>
  </mergeCells>
  <hyperlinks>
    <hyperlink ref="B2" location="Tilakokonaisuus!A1" display="PALAA ETUSIVULLE" xr:uid="{CBC69E46-49DC-B149-99AF-6AD95CAAD4DD}"/>
    <hyperlink ref="B2:C2" location="'Gårdens info'!A1" display="TILL FRAMSIDAN" xr:uid="{592B9CC2-8A66-064A-A0ED-0AC230ADD665}"/>
    <hyperlink ref="B24:E24" location="'Gårdens info'!C97" display="YLEISKUSTANNUKSET, ohran osuus" xr:uid="{281223EB-5270-D248-8E33-D547B2E7359F}"/>
    <hyperlink ref="B29:C29" location="Omaisuus!B15" display="RAKENNUKSET" xr:uid="{FDD960D9-66FE-6643-8602-CD6492EB5F4C}"/>
    <hyperlink ref="B36:D36" location="Omaisuus!B28" display="KONEET JA KALUSTO" xr:uid="{5CB42424-83B9-554F-A2F2-D4294AB09FE6}"/>
    <hyperlink ref="B43:D43" location="Omaisuus!B51" display="PIDEMPIAIKAISET TUOTANTOVÄLINEET" xr:uid="{678172A7-6849-0A40-AA19-F3587ACD4E9F}"/>
    <hyperlink ref="B50:C50" location="Omaisuus!B70" display="SALAOJAT" xr:uid="{FA0FDE81-9420-5346-A692-8BB2AA763B4C}"/>
    <hyperlink ref="L67" location="'Avomaan mansikka'!B2" display="PALAA SIVUN YLÄLAITAAN" xr:uid="{7943663F-64F1-3B43-9CC9-75B5FB74AD7E}"/>
    <hyperlink ref="L67:M67" location="Korn!A1" display="TILL SIDANS BÖRJAN" xr:uid="{EBEFCEB3-86A4-BB45-B2E0-9203B764750B}"/>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25AA3-FD79-974B-A6E4-9C25DDE26813}">
  <sheetPr>
    <tabColor theme="2" tint="-0.499984740745262"/>
  </sheetPr>
  <dimension ref="A1:AC153"/>
  <sheetViews>
    <sheetView zoomScale="68" zoomScaleNormal="80" workbookViewId="0">
      <selection activeCell="F10" sqref="F10"/>
    </sheetView>
  </sheetViews>
  <sheetFormatPr defaultColWidth="11.44140625" defaultRowHeight="13.2" x14ac:dyDescent="0.25"/>
  <cols>
    <col min="1" max="1" width="5.33203125" style="547"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547" customFormat="1" ht="22.8" x14ac:dyDescent="0.4">
      <c r="B1" s="554" t="s">
        <v>50</v>
      </c>
    </row>
    <row r="2" spans="1:13" ht="27" customHeight="1" x14ac:dyDescent="0.3">
      <c r="B2" s="1094" t="s">
        <v>201</v>
      </c>
      <c r="C2" s="1094"/>
      <c r="F2" s="69"/>
      <c r="G2" s="69"/>
      <c r="H2" s="69"/>
    </row>
    <row r="3" spans="1:13" ht="27" customHeight="1" x14ac:dyDescent="0.3">
      <c r="B3" s="189"/>
      <c r="C3" s="189"/>
    </row>
    <row r="4" spans="1:13" ht="69"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840</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info'!G39</f>
        <v>0</v>
      </c>
      <c r="G9" s="119" t="s">
        <v>57</v>
      </c>
      <c r="H9" s="298">
        <f>0.315</f>
        <v>0.315</v>
      </c>
      <c r="I9" s="119" t="s">
        <v>206</v>
      </c>
      <c r="J9" s="229">
        <f>F9*'Gårdens info'!D39</f>
        <v>0</v>
      </c>
      <c r="K9" s="119" t="s">
        <v>841</v>
      </c>
      <c r="L9" s="119"/>
      <c r="M9" s="226"/>
    </row>
    <row r="10" spans="1:13" ht="15" x14ac:dyDescent="0.25">
      <c r="B10" s="227"/>
      <c r="C10" s="119" t="s">
        <v>211</v>
      </c>
      <c r="D10" s="119"/>
      <c r="E10" s="119"/>
      <c r="F10" s="229">
        <f>IF('Gårdens info'!D39&gt;0,Stöd!L14,0)</f>
        <v>0</v>
      </c>
      <c r="G10" s="119" t="s">
        <v>57</v>
      </c>
      <c r="H10" s="298">
        <f>IF('Gårdens info'!G39&gt;0,F10/'Gårdens info'!G39,0)</f>
        <v>0</v>
      </c>
      <c r="I10" s="119" t="s">
        <v>206</v>
      </c>
      <c r="J10" s="229">
        <f>F10*'Gårdens info'!D39</f>
        <v>0</v>
      </c>
      <c r="K10" s="119" t="s">
        <v>841</v>
      </c>
      <c r="L10" s="119"/>
      <c r="M10" s="226"/>
    </row>
    <row r="11" spans="1:13" s="5" customFormat="1" ht="21" customHeight="1" x14ac:dyDescent="0.4">
      <c r="A11" s="548"/>
      <c r="B11" s="1061" t="s">
        <v>214</v>
      </c>
      <c r="C11" s="1043"/>
      <c r="D11" s="1043"/>
      <c r="E11" s="262"/>
      <c r="F11" s="266">
        <f>F9+F10</f>
        <v>0</v>
      </c>
      <c r="G11" s="267" t="s">
        <v>57</v>
      </c>
      <c r="H11" s="268">
        <f>H9+H10</f>
        <v>0.315</v>
      </c>
      <c r="I11" s="267" t="s">
        <v>206</v>
      </c>
      <c r="J11" s="269">
        <f>J9+J10</f>
        <v>0</v>
      </c>
      <c r="K11" s="267" t="s">
        <v>841</v>
      </c>
      <c r="L11" s="267"/>
      <c r="M11" s="259"/>
    </row>
    <row r="12" spans="1:13" s="5" customFormat="1" ht="21" x14ac:dyDescent="0.4">
      <c r="A12" s="548"/>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816</v>
      </c>
      <c r="C14" s="225"/>
      <c r="D14" s="116"/>
      <c r="E14" s="116"/>
      <c r="F14" s="116"/>
      <c r="G14" s="116"/>
      <c r="H14" s="116"/>
      <c r="I14" s="116"/>
      <c r="J14" s="232"/>
      <c r="K14" s="116"/>
      <c r="L14" s="116"/>
      <c r="M14" s="226"/>
    </row>
    <row r="15" spans="1:13" s="56" customFormat="1" ht="16.95" customHeight="1" x14ac:dyDescent="0.3">
      <c r="A15" s="547"/>
      <c r="B15" s="493"/>
      <c r="C15" s="245"/>
      <c r="D15" s="249"/>
      <c r="E15" s="249"/>
      <c r="F15" s="250"/>
      <c r="G15" s="120"/>
      <c r="H15" s="249"/>
      <c r="I15" s="249"/>
      <c r="J15" s="249"/>
      <c r="K15" s="249"/>
      <c r="L15" s="249"/>
      <c r="M15" s="234"/>
    </row>
    <row r="16" spans="1:13" s="69" customFormat="1" ht="16.95" customHeight="1" x14ac:dyDescent="0.25">
      <c r="A16" s="547"/>
      <c r="B16" s="493"/>
      <c r="C16" s="228" t="s">
        <v>218</v>
      </c>
      <c r="D16" s="236"/>
      <c r="E16" s="236"/>
      <c r="F16" s="247">
        <f>IF('Gårdens info'!D39&gt;0,J71,0)</f>
        <v>0</v>
      </c>
      <c r="G16" s="119" t="s">
        <v>57</v>
      </c>
      <c r="H16" s="238">
        <f>IF('Gårdens info'!$G$39&gt;0,F16/'Gårdens info'!$G$39,0)</f>
        <v>0</v>
      </c>
      <c r="I16" s="119" t="s">
        <v>206</v>
      </c>
      <c r="J16" s="237">
        <f>F16*'Gårdens info'!$D$39</f>
        <v>0</v>
      </c>
      <c r="K16" s="119" t="s">
        <v>841</v>
      </c>
      <c r="L16" s="236"/>
      <c r="M16" s="239"/>
    </row>
    <row r="17" spans="1:29" s="69" customFormat="1" ht="15" x14ac:dyDescent="0.25">
      <c r="A17" s="549"/>
      <c r="B17" s="235"/>
      <c r="C17" s="228" t="s">
        <v>219</v>
      </c>
      <c r="D17" s="236"/>
      <c r="E17" s="236"/>
      <c r="F17" s="237">
        <f>IF('Gårdens info'!D39&gt;0,J79,0)</f>
        <v>0</v>
      </c>
      <c r="G17" s="119" t="s">
        <v>57</v>
      </c>
      <c r="H17" s="238">
        <f>IF('Gårdens info'!$G$39&gt;0,F17/'Gårdens info'!$G$39,0)</f>
        <v>0</v>
      </c>
      <c r="I17" s="119" t="s">
        <v>206</v>
      </c>
      <c r="J17" s="237">
        <f>F17*'Gårdens info'!$D$39</f>
        <v>0</v>
      </c>
      <c r="K17" s="119" t="s">
        <v>841</v>
      </c>
      <c r="L17" s="236"/>
      <c r="M17" s="239"/>
    </row>
    <row r="18" spans="1:29" s="69" customFormat="1" ht="15" x14ac:dyDescent="0.25">
      <c r="A18" s="549"/>
      <c r="B18" s="235"/>
      <c r="C18" s="228" t="s">
        <v>220</v>
      </c>
      <c r="D18" s="236"/>
      <c r="E18" s="236"/>
      <c r="F18" s="237">
        <f>IF('Gårdens info'!D39&gt;0,J97,0)</f>
        <v>0</v>
      </c>
      <c r="G18" s="119" t="s">
        <v>57</v>
      </c>
      <c r="H18" s="238">
        <f>IF('Gårdens info'!$G$39&gt;0,F18/'Gårdens info'!$G$39,0)</f>
        <v>0</v>
      </c>
      <c r="I18" s="119" t="s">
        <v>206</v>
      </c>
      <c r="J18" s="237">
        <f>F18*'Gårdens info'!$D$39</f>
        <v>0</v>
      </c>
      <c r="K18" s="119" t="s">
        <v>841</v>
      </c>
      <c r="L18" s="236"/>
      <c r="M18" s="239"/>
    </row>
    <row r="19" spans="1:29" s="69" customFormat="1" ht="15" x14ac:dyDescent="0.25">
      <c r="A19" s="549"/>
      <c r="B19" s="235"/>
      <c r="C19" s="228" t="s">
        <v>568</v>
      </c>
      <c r="D19" s="236"/>
      <c r="E19" s="236"/>
      <c r="F19" s="237">
        <f>IF('Gårdens info'!D39&gt;0,J106,0)</f>
        <v>0</v>
      </c>
      <c r="G19" s="119" t="s">
        <v>57</v>
      </c>
      <c r="H19" s="238">
        <f>IF('Gårdens info'!$G$39&gt;0,F19/'Gårdens info'!$G$39,0)</f>
        <v>0</v>
      </c>
      <c r="I19" s="119" t="s">
        <v>206</v>
      </c>
      <c r="J19" s="237">
        <f>F19*'Gårdens info'!$D$39</f>
        <v>0</v>
      </c>
      <c r="K19" s="119" t="s">
        <v>841</v>
      </c>
      <c r="L19" s="236"/>
      <c r="M19" s="239"/>
    </row>
    <row r="20" spans="1:29" s="69" customFormat="1" ht="15" x14ac:dyDescent="0.25">
      <c r="A20" s="549"/>
      <c r="B20" s="235"/>
      <c r="C20" s="228" t="s">
        <v>224</v>
      </c>
      <c r="D20" s="236"/>
      <c r="E20" s="236"/>
      <c r="F20" s="237">
        <f>IF('Gårdens info'!D39&gt;0,J118,0)</f>
        <v>0</v>
      </c>
      <c r="G20" s="119" t="s">
        <v>57</v>
      </c>
      <c r="H20" s="238">
        <f>IF('Gårdens info'!$G$39&gt;0,F20/'Gårdens info'!$G$39,0)</f>
        <v>0</v>
      </c>
      <c r="I20" s="119" t="s">
        <v>206</v>
      </c>
      <c r="J20" s="237">
        <f>F20*'Gårdens info'!$D$39</f>
        <v>0</v>
      </c>
      <c r="K20" s="119" t="s">
        <v>841</v>
      </c>
      <c r="L20" s="236"/>
      <c r="M20" s="239"/>
    </row>
    <row r="21" spans="1:29" s="69" customFormat="1" ht="15" x14ac:dyDescent="0.25">
      <c r="A21" s="549"/>
      <c r="B21" s="235"/>
      <c r="C21" s="228" t="s">
        <v>817</v>
      </c>
      <c r="D21" s="236"/>
      <c r="E21" s="236"/>
      <c r="F21" s="237">
        <f>IF('Gårdens info'!D39&gt;0,L134,0)</f>
        <v>0</v>
      </c>
      <c r="G21" s="119" t="s">
        <v>57</v>
      </c>
      <c r="H21" s="238">
        <f>IF('Gårdens info'!$G$39&gt;0,F21/'Gårdens info'!$G$39,0)</f>
        <v>0</v>
      </c>
      <c r="I21" s="119" t="s">
        <v>206</v>
      </c>
      <c r="J21" s="237">
        <f>F21*'Gårdens info'!$D$39</f>
        <v>0</v>
      </c>
      <c r="K21" s="119" t="s">
        <v>841</v>
      </c>
      <c r="L21" s="236"/>
      <c r="M21" s="239"/>
    </row>
    <row r="22" spans="1:29" ht="15.6" x14ac:dyDescent="0.3">
      <c r="B22" s="251"/>
      <c r="C22" s="240" t="s">
        <v>54</v>
      </c>
      <c r="D22" s="241"/>
      <c r="E22" s="241"/>
      <c r="F22" s="242">
        <f>SUM(F16:F21)</f>
        <v>0</v>
      </c>
      <c r="G22" s="243" t="s">
        <v>57</v>
      </c>
      <c r="H22" s="244">
        <f>SUM(H16:H21)</f>
        <v>0</v>
      </c>
      <c r="I22" s="243" t="s">
        <v>206</v>
      </c>
      <c r="J22" s="242">
        <f>SUM(J16:J21)</f>
        <v>0</v>
      </c>
      <c r="K22" s="243" t="s">
        <v>841</v>
      </c>
      <c r="L22" s="241"/>
      <c r="M22" s="252"/>
      <c r="N22" s="69"/>
      <c r="O22" s="69"/>
      <c r="P22" s="69"/>
      <c r="Q22" s="69"/>
      <c r="R22" s="69"/>
      <c r="S22" s="69"/>
      <c r="T22" s="69"/>
      <c r="U22" s="69"/>
    </row>
    <row r="23" spans="1:29" s="56" customFormat="1" ht="17.399999999999999" x14ac:dyDescent="0.3">
      <c r="A23" s="550"/>
      <c r="B23" s="231"/>
      <c r="C23" s="245"/>
      <c r="D23" s="246"/>
      <c r="E23" s="246"/>
      <c r="F23" s="247"/>
      <c r="G23" s="119"/>
      <c r="H23" s="246"/>
      <c r="I23" s="246"/>
      <c r="J23" s="246"/>
      <c r="K23" s="246"/>
      <c r="L23" s="246"/>
      <c r="M23" s="226"/>
      <c r="N23" s="69"/>
      <c r="O23" s="69"/>
      <c r="P23" s="69"/>
      <c r="R23" s="69"/>
      <c r="S23" s="69"/>
      <c r="T23" s="69"/>
      <c r="U23" s="69"/>
      <c r="AB23" s="449" t="s">
        <v>512</v>
      </c>
      <c r="AC23" s="561">
        <f>F16</f>
        <v>0</v>
      </c>
    </row>
    <row r="24" spans="1:29" s="69" customFormat="1" ht="17.399999999999999" x14ac:dyDescent="0.3">
      <c r="A24" s="549"/>
      <c r="B24" s="1081" t="s">
        <v>842</v>
      </c>
      <c r="C24" s="1082"/>
      <c r="D24" s="1082"/>
      <c r="E24" s="1082"/>
      <c r="F24" s="263">
        <f>IF('Gårdens info'!D39&gt;0,J24/'Gårdens info'!D39,0)</f>
        <v>0</v>
      </c>
      <c r="G24" s="243" t="s">
        <v>57</v>
      </c>
      <c r="H24" s="264">
        <f>IF('Gårdens info'!G39&gt;0,F24/'Gårdens info'!G39,0)</f>
        <v>0</v>
      </c>
      <c r="I24" s="243" t="s">
        <v>206</v>
      </c>
      <c r="J24" s="258">
        <f>'Gårdens info'!G163/'Gårdens info'!D43*'Gårdens info'!D39</f>
        <v>0</v>
      </c>
      <c r="K24" s="243" t="s">
        <v>841</v>
      </c>
      <c r="L24" s="265"/>
      <c r="M24" s="259"/>
      <c r="N24"/>
      <c r="O24"/>
      <c r="P24"/>
      <c r="S24"/>
      <c r="T24"/>
      <c r="U24"/>
      <c r="AB24" s="382" t="str">
        <f>C17</f>
        <v>Gödsel och kalk</v>
      </c>
      <c r="AC24" s="561">
        <f t="shared" ref="AC24:AC28" si="0">F17</f>
        <v>0</v>
      </c>
    </row>
    <row r="25" spans="1:29" s="69" customFormat="1" ht="17.399999999999999" x14ac:dyDescent="0.3">
      <c r="A25" s="549"/>
      <c r="B25" s="1091" t="s">
        <v>843</v>
      </c>
      <c r="C25" s="1092"/>
      <c r="D25" s="1092"/>
      <c r="E25" s="1092"/>
      <c r="F25" s="263">
        <f>IF('Gårdens info'!D39&gt;0,J25/'Gårdens info'!D39,0)</f>
        <v>0</v>
      </c>
      <c r="G25" s="243" t="s">
        <v>57</v>
      </c>
      <c r="H25" s="264">
        <f>IF('Gårdens info'!G39&gt;0,F25/'Gårdens info'!G39,0)</f>
        <v>0</v>
      </c>
      <c r="I25" s="243" t="s">
        <v>206</v>
      </c>
      <c r="J25" s="258">
        <f>'Gårdens info'!$D$48/'Gårdens info'!$D$49*'Gårdens info'!$G$48*'Gårdens info'!D39</f>
        <v>0</v>
      </c>
      <c r="K25" s="243" t="s">
        <v>841</v>
      </c>
      <c r="L25" s="265"/>
      <c r="M25" s="259"/>
      <c r="N25" s="56"/>
      <c r="O25" s="56"/>
      <c r="P25" s="56"/>
      <c r="S25" s="56"/>
      <c r="T25" s="56"/>
      <c r="U25" s="56"/>
      <c r="AB25" s="382" t="str">
        <f>C18</f>
        <v>IPM Växtskydd</v>
      </c>
      <c r="AC25" s="561">
        <f t="shared" si="0"/>
        <v>0</v>
      </c>
    </row>
    <row r="26" spans="1:29" s="69" customFormat="1" ht="21" customHeight="1" x14ac:dyDescent="0.4">
      <c r="A26" s="549"/>
      <c r="B26" s="1061" t="s">
        <v>189</v>
      </c>
      <c r="C26" s="1043"/>
      <c r="D26" s="1043"/>
      <c r="E26" s="262"/>
      <c r="F26" s="266">
        <f>F22+F24+F25</f>
        <v>0</v>
      </c>
      <c r="G26" s="267" t="s">
        <v>57</v>
      </c>
      <c r="H26" s="268">
        <f>H22+H24+H25</f>
        <v>0</v>
      </c>
      <c r="I26" s="267" t="s">
        <v>206</v>
      </c>
      <c r="J26" s="269">
        <f>J22+J24+J25</f>
        <v>0</v>
      </c>
      <c r="K26" s="267" t="s">
        <v>841</v>
      </c>
      <c r="L26" s="267"/>
      <c r="M26" s="259"/>
      <c r="AB26" s="382" t="str">
        <f t="shared" ref="AB26:AB28" si="1">C19</f>
        <v>Maskinhyra och entreprenad</v>
      </c>
      <c r="AC26" s="561">
        <f t="shared" si="0"/>
        <v>0</v>
      </c>
    </row>
    <row r="27" spans="1:29" s="69" customFormat="1" ht="21" x14ac:dyDescent="0.4">
      <c r="A27" s="549"/>
      <c r="B27" s="288"/>
      <c r="C27" s="270"/>
      <c r="D27" s="270"/>
      <c r="E27" s="262"/>
      <c r="F27" s="266"/>
      <c r="G27" s="267"/>
      <c r="H27" s="268"/>
      <c r="I27" s="267"/>
      <c r="J27" s="269"/>
      <c r="K27" s="267"/>
      <c r="L27" s="267"/>
      <c r="M27" s="259"/>
      <c r="AB27" s="382" t="str">
        <f t="shared" si="1"/>
        <v>Energikostnader</v>
      </c>
      <c r="AC27" s="561">
        <f t="shared" si="0"/>
        <v>0</v>
      </c>
    </row>
    <row r="28" spans="1:29" s="69" customFormat="1" ht="21" x14ac:dyDescent="0.4">
      <c r="A28" s="549"/>
      <c r="B28" s="257" t="s">
        <v>844</v>
      </c>
      <c r="C28" s="225"/>
      <c r="D28" s="116"/>
      <c r="E28" s="116"/>
      <c r="F28" s="116"/>
      <c r="G28" s="116"/>
      <c r="H28" s="116"/>
      <c r="I28" s="116"/>
      <c r="J28" s="232"/>
      <c r="K28" s="116"/>
      <c r="L28" s="116"/>
      <c r="M28" s="226"/>
      <c r="AB28" s="382" t="str">
        <f t="shared" si="1"/>
        <v xml:space="preserve">Anställd arbetskraft </v>
      </c>
      <c r="AC28" s="561">
        <f t="shared" si="0"/>
        <v>0</v>
      </c>
    </row>
    <row r="29" spans="1:29" s="69" customFormat="1" ht="21" x14ac:dyDescent="0.4">
      <c r="A29" s="549"/>
      <c r="B29" s="1081" t="s">
        <v>69</v>
      </c>
      <c r="C29" s="1082"/>
      <c r="D29" s="270"/>
      <c r="E29" s="262"/>
      <c r="F29" s="266"/>
      <c r="G29" s="267"/>
      <c r="H29" s="268"/>
      <c r="I29" s="267"/>
      <c r="J29" s="269"/>
      <c r="K29" s="267"/>
      <c r="L29" s="267"/>
      <c r="M29" s="259"/>
      <c r="AB29" s="384" t="s">
        <v>538</v>
      </c>
      <c r="AC29" s="384">
        <f>F24</f>
        <v>0</v>
      </c>
    </row>
    <row r="30" spans="1:29" s="69" customFormat="1" ht="21" x14ac:dyDescent="0.4">
      <c r="A30" s="549"/>
      <c r="B30" s="287"/>
      <c r="C30" s="274" t="s">
        <v>229</v>
      </c>
      <c r="D30" s="270"/>
      <c r="E30" s="262"/>
      <c r="F30" s="276">
        <f>IF('Gårdens info'!$D$39&gt;0,J30/'Gårdens info'!$D$39,0)</f>
        <v>0</v>
      </c>
      <c r="G30" s="119" t="s">
        <v>57</v>
      </c>
      <c r="H30" s="277">
        <f>IF('Gårdens info'!$G$39&gt;0,F30/'Gårdens info'!$G$39,0)</f>
        <v>0</v>
      </c>
      <c r="I30" s="119" t="s">
        <v>206</v>
      </c>
      <c r="J30" s="237">
        <f>Egendom!BE25</f>
        <v>0</v>
      </c>
      <c r="K30" s="119" t="s">
        <v>841</v>
      </c>
      <c r="L30" s="267"/>
      <c r="M30" s="259"/>
      <c r="AB30" s="382" t="s">
        <v>482</v>
      </c>
      <c r="AC30" s="384">
        <f>F25</f>
        <v>0</v>
      </c>
    </row>
    <row r="31" spans="1:29" s="192" customFormat="1" ht="21" x14ac:dyDescent="0.4">
      <c r="A31" s="551"/>
      <c r="B31" s="287"/>
      <c r="C31" s="274" t="s">
        <v>230</v>
      </c>
      <c r="D31" s="270"/>
      <c r="E31" s="262"/>
      <c r="F31" s="276">
        <f>IF('Gårdens info'!$D$39&gt;0,J31/'Gårdens info'!$D$39,0)</f>
        <v>0</v>
      </c>
      <c r="G31" s="119" t="s">
        <v>57</v>
      </c>
      <c r="H31" s="277">
        <f>IF('Gårdens info'!$G$39&gt;0,F31/'Gårdens info'!$G$39,0)</f>
        <v>0</v>
      </c>
      <c r="I31" s="119" t="s">
        <v>206</v>
      </c>
      <c r="J31" s="237">
        <f>Egendom!CC25</f>
        <v>0</v>
      </c>
      <c r="K31" s="119" t="s">
        <v>841</v>
      </c>
      <c r="L31" s="267"/>
      <c r="M31" s="259"/>
      <c r="N31" s="69"/>
      <c r="O31" s="69"/>
      <c r="P31" s="69"/>
      <c r="S31" s="69"/>
      <c r="T31" s="69"/>
      <c r="U31" s="69"/>
      <c r="AB31" s="382" t="s">
        <v>235</v>
      </c>
      <c r="AC31" s="385">
        <f>F34</f>
        <v>0</v>
      </c>
    </row>
    <row r="32" spans="1:29" ht="17.399999999999999" customHeight="1" x14ac:dyDescent="0.3">
      <c r="B32" s="287"/>
      <c r="C32" s="1083" t="s">
        <v>232</v>
      </c>
      <c r="D32" s="1083"/>
      <c r="E32" s="262"/>
      <c r="F32" s="276">
        <f>IF('Gårdens info'!$D$39&gt;0,J32/'Gårdens info'!$D$39,0)</f>
        <v>0</v>
      </c>
      <c r="G32" s="119" t="s">
        <v>57</v>
      </c>
      <c r="H32" s="277">
        <f>IF('Gårdens info'!$G$39&gt;0,F32/'Gårdens info'!$G$39,0)</f>
        <v>0</v>
      </c>
      <c r="I32" s="119" t="s">
        <v>206</v>
      </c>
      <c r="J32" s="237">
        <f>Egendom!DA25</f>
        <v>0</v>
      </c>
      <c r="K32" s="119" t="s">
        <v>841</v>
      </c>
      <c r="L32" s="267"/>
      <c r="M32" s="259"/>
      <c r="N32" s="69"/>
      <c r="O32" s="69"/>
      <c r="P32" s="69"/>
      <c r="S32" s="69"/>
      <c r="T32" s="69"/>
      <c r="U32" s="69"/>
      <c r="AB32" s="382" t="s">
        <v>236</v>
      </c>
      <c r="AC32" s="386">
        <f>F41</f>
        <v>0</v>
      </c>
    </row>
    <row r="33" spans="1:29" ht="21" x14ac:dyDescent="0.4">
      <c r="B33" s="287"/>
      <c r="C33" s="274" t="s">
        <v>234</v>
      </c>
      <c r="D33" s="270"/>
      <c r="E33" s="262"/>
      <c r="F33" s="276">
        <f>IF('Gårdens info'!$D$39&gt;0,J33/'Gårdens info'!$D$39,0)</f>
        <v>0</v>
      </c>
      <c r="G33" s="119" t="s">
        <v>57</v>
      </c>
      <c r="H33" s="277">
        <f>IF('Gårdens info'!$G$39&gt;0,F33/'Gårdens info'!$G$39,0)</f>
        <v>0</v>
      </c>
      <c r="I33" s="119" t="s">
        <v>206</v>
      </c>
      <c r="J33" s="237">
        <f>Egendom!DY25</f>
        <v>0</v>
      </c>
      <c r="K33" s="119" t="s">
        <v>841</v>
      </c>
      <c r="L33" s="267"/>
      <c r="M33" s="259"/>
      <c r="N33" s="192"/>
      <c r="O33" s="192"/>
      <c r="P33" s="192"/>
      <c r="S33" s="192"/>
      <c r="T33" s="192"/>
      <c r="U33" s="192"/>
      <c r="AB33" s="382" t="s">
        <v>237</v>
      </c>
      <c r="AC33" s="386">
        <f>F48</f>
        <v>0</v>
      </c>
    </row>
    <row r="34" spans="1:29" ht="20.399999999999999" x14ac:dyDescent="0.35">
      <c r="B34" s="289"/>
      <c r="C34" s="278" t="s">
        <v>54</v>
      </c>
      <c r="D34" s="279"/>
      <c r="E34" s="262"/>
      <c r="F34" s="280">
        <f>SUM(F30:F33)</f>
        <v>0</v>
      </c>
      <c r="G34" s="119" t="s">
        <v>57</v>
      </c>
      <c r="H34" s="285">
        <f t="shared" ref="H34:J34" si="2">SUM(H30:H33)</f>
        <v>0</v>
      </c>
      <c r="I34" s="119" t="s">
        <v>206</v>
      </c>
      <c r="J34" s="280">
        <f t="shared" si="2"/>
        <v>0</v>
      </c>
      <c r="K34" s="119" t="s">
        <v>841</v>
      </c>
      <c r="L34" s="281"/>
      <c r="M34" s="259"/>
      <c r="AB34" s="382" t="s">
        <v>141</v>
      </c>
      <c r="AC34" s="386">
        <f>F54</f>
        <v>0</v>
      </c>
    </row>
    <row r="35" spans="1:29" s="69" customFormat="1" ht="21" x14ac:dyDescent="0.4">
      <c r="A35" s="549"/>
      <c r="B35" s="287"/>
      <c r="C35" s="274"/>
      <c r="D35" s="270"/>
      <c r="E35" s="262"/>
      <c r="F35" s="276"/>
      <c r="G35" s="119"/>
      <c r="H35" s="277"/>
      <c r="I35" s="119"/>
      <c r="J35" s="237"/>
      <c r="K35" s="119"/>
      <c r="L35" s="267"/>
      <c r="M35" s="259"/>
      <c r="N35"/>
      <c r="O35"/>
      <c r="P35"/>
      <c r="S35"/>
      <c r="T35"/>
      <c r="U35"/>
      <c r="AB35" s="382" t="s">
        <v>192</v>
      </c>
      <c r="AC35" s="384">
        <f>F60</f>
        <v>0</v>
      </c>
    </row>
    <row r="36" spans="1:29" s="69" customFormat="1" ht="17.399999999999999" x14ac:dyDescent="0.3">
      <c r="A36" s="549"/>
      <c r="B36" s="1081" t="s">
        <v>83</v>
      </c>
      <c r="C36" s="1082"/>
      <c r="D36" s="1082"/>
      <c r="E36" s="262"/>
      <c r="F36" s="276"/>
      <c r="G36" s="119"/>
      <c r="H36" s="277"/>
      <c r="I36" s="119"/>
      <c r="J36" s="237"/>
      <c r="K36" s="119"/>
      <c r="L36" s="267"/>
      <c r="M36" s="259"/>
      <c r="N36"/>
      <c r="O36"/>
      <c r="P36"/>
      <c r="S36"/>
      <c r="T36"/>
      <c r="U36"/>
      <c r="AB36" s="5"/>
      <c r="AC36" s="5"/>
    </row>
    <row r="37" spans="1:29" s="69" customFormat="1" ht="21" x14ac:dyDescent="0.4">
      <c r="A37" s="549"/>
      <c r="B37" s="287"/>
      <c r="C37" s="274" t="s">
        <v>229</v>
      </c>
      <c r="D37" s="270"/>
      <c r="E37" s="262"/>
      <c r="F37" s="276">
        <f>IF('Gårdens info'!$D$39&gt;0,J37/'Gårdens info'!$D$39,0)</f>
        <v>0</v>
      </c>
      <c r="G37" s="119" t="s">
        <v>57</v>
      </c>
      <c r="H37" s="277">
        <f>IF('Gårdens info'!$G$39&gt;0,F37/'Gårdens info'!$G$39,0)</f>
        <v>0</v>
      </c>
      <c r="I37" s="119" t="s">
        <v>206</v>
      </c>
      <c r="J37" s="237">
        <f>Egendom!BE61</f>
        <v>0</v>
      </c>
      <c r="K37" s="119" t="s">
        <v>841</v>
      </c>
      <c r="L37" s="267"/>
      <c r="M37" s="259"/>
      <c r="AB37" s="5"/>
      <c r="AC37" s="5"/>
    </row>
    <row r="38" spans="1:29" s="5" customFormat="1" ht="21" x14ac:dyDescent="0.4">
      <c r="A38" s="548"/>
      <c r="B38" s="287"/>
      <c r="C38" s="274" t="s">
        <v>230</v>
      </c>
      <c r="D38" s="270"/>
      <c r="E38" s="262"/>
      <c r="F38" s="276">
        <f>IF('Gårdens info'!$D$39&gt;0,J38/'Gårdens info'!$D$39,0)</f>
        <v>0</v>
      </c>
      <c r="G38" s="119" t="s">
        <v>57</v>
      </c>
      <c r="H38" s="277">
        <f>IF('Gårdens info'!$G$39&gt;0,F38/'Gårdens info'!$G$39,0)</f>
        <v>0</v>
      </c>
      <c r="I38" s="119" t="s">
        <v>206</v>
      </c>
      <c r="J38" s="237">
        <f>Egendom!CC61</f>
        <v>0</v>
      </c>
      <c r="K38" s="119" t="s">
        <v>841</v>
      </c>
      <c r="L38" s="267"/>
      <c r="M38" s="259"/>
      <c r="N38" s="69"/>
      <c r="O38" s="69"/>
      <c r="P38" s="69"/>
      <c r="Q38" s="69"/>
      <c r="R38" s="69"/>
      <c r="S38" s="69"/>
      <c r="T38" s="69"/>
      <c r="U38" s="69"/>
    </row>
    <row r="39" spans="1:29" s="5" customFormat="1" ht="17.399999999999999" customHeight="1" x14ac:dyDescent="0.3">
      <c r="A39" s="548"/>
      <c r="B39" s="287"/>
      <c r="C39" s="1083" t="s">
        <v>232</v>
      </c>
      <c r="D39" s="1083"/>
      <c r="E39" s="262"/>
      <c r="F39" s="276">
        <f>IF('Gårdens info'!$D$39&gt;0,J39/'Gårdens info'!$D$39,0)</f>
        <v>0</v>
      </c>
      <c r="G39" s="119" t="s">
        <v>57</v>
      </c>
      <c r="H39" s="277">
        <f>IF('Gårdens info'!$G$39&gt;0,F39/'Gårdens info'!$G$39,0)</f>
        <v>0</v>
      </c>
      <c r="I39" s="119" t="s">
        <v>206</v>
      </c>
      <c r="J39" s="237" t="e">
        <f>Egendom!DA61</f>
        <v>#DIV/0!</v>
      </c>
      <c r="K39" s="119" t="s">
        <v>841</v>
      </c>
      <c r="L39" s="267"/>
      <c r="M39" s="259"/>
      <c r="N39" s="69"/>
      <c r="O39" s="69"/>
      <c r="P39" s="69"/>
      <c r="Q39" s="69"/>
      <c r="R39" s="69"/>
      <c r="S39" s="69"/>
      <c r="T39" s="69"/>
      <c r="U39" s="69"/>
    </row>
    <row r="40" spans="1:29" s="5" customFormat="1" ht="21" x14ac:dyDescent="0.4">
      <c r="A40" s="548"/>
      <c r="B40" s="287"/>
      <c r="C40" s="274" t="s">
        <v>234</v>
      </c>
      <c r="D40" s="270"/>
      <c r="E40" s="262"/>
      <c r="F40" s="276">
        <f>IF('Gårdens info'!$D$39&gt;0,J40/'Gårdens info'!$D$39,0)</f>
        <v>0</v>
      </c>
      <c r="G40" s="119" t="s">
        <v>57</v>
      </c>
      <c r="H40" s="277">
        <f>IF('Gårdens info'!$G$39&gt;0,F40/'Gårdens info'!$G$39,0)</f>
        <v>0</v>
      </c>
      <c r="I40" s="119" t="s">
        <v>206</v>
      </c>
      <c r="J40" s="237" t="e">
        <f>Egendom!DY61</f>
        <v>#DIV/0!</v>
      </c>
      <c r="K40" s="119" t="s">
        <v>841</v>
      </c>
      <c r="L40" s="267"/>
      <c r="M40" s="259"/>
    </row>
    <row r="41" spans="1:29" s="5" customFormat="1" ht="20.399999999999999" x14ac:dyDescent="0.35">
      <c r="A41" s="548"/>
      <c r="B41" s="289"/>
      <c r="C41" s="278" t="s">
        <v>54</v>
      </c>
      <c r="D41" s="279"/>
      <c r="E41" s="262"/>
      <c r="F41" s="280">
        <f>SUM(F37:F40)</f>
        <v>0</v>
      </c>
      <c r="G41" s="119" t="s">
        <v>57</v>
      </c>
      <c r="H41" s="285">
        <f t="shared" ref="H41:J41" si="3">SUM(H37:H40)</f>
        <v>0</v>
      </c>
      <c r="I41" s="119" t="s">
        <v>206</v>
      </c>
      <c r="J41" s="280" t="e">
        <f t="shared" si="3"/>
        <v>#DIV/0!</v>
      </c>
      <c r="K41" s="119" t="s">
        <v>841</v>
      </c>
      <c r="L41" s="281"/>
      <c r="M41" s="259"/>
    </row>
    <row r="42" spans="1:29" s="5" customFormat="1" ht="21" x14ac:dyDescent="0.4">
      <c r="A42" s="548"/>
      <c r="B42" s="287"/>
      <c r="C42" s="274"/>
      <c r="D42" s="270"/>
      <c r="E42" s="262"/>
      <c r="F42" s="276"/>
      <c r="G42" s="119"/>
      <c r="H42" s="277"/>
      <c r="I42" s="119"/>
      <c r="J42" s="237"/>
      <c r="K42" s="119"/>
      <c r="L42" s="267"/>
      <c r="M42" s="259"/>
      <c r="AB42"/>
      <c r="AC42"/>
    </row>
    <row r="43" spans="1:29" s="5" customFormat="1" ht="43.2" customHeight="1" x14ac:dyDescent="0.3">
      <c r="A43" s="548"/>
      <c r="B43" s="1081" t="s">
        <v>355</v>
      </c>
      <c r="C43" s="1082"/>
      <c r="D43" s="1082"/>
      <c r="E43" s="262"/>
      <c r="F43" s="276"/>
      <c r="G43" s="119"/>
      <c r="H43" s="277"/>
      <c r="I43" s="119"/>
      <c r="J43" s="237"/>
      <c r="K43" s="119"/>
      <c r="L43" s="267"/>
      <c r="M43" s="259"/>
    </row>
    <row r="44" spans="1:29" ht="21" x14ac:dyDescent="0.4">
      <c r="B44" s="287"/>
      <c r="C44" s="274" t="s">
        <v>229</v>
      </c>
      <c r="D44" s="270"/>
      <c r="E44" s="262"/>
      <c r="F44" s="276">
        <f>IF('Gårdens info'!$D$39&gt;0,J44/'Gårdens info'!$D$39,0)</f>
        <v>0</v>
      </c>
      <c r="G44" s="119" t="s">
        <v>57</v>
      </c>
      <c r="H44" s="277">
        <f>IF('Gårdens info'!$G$39&gt;0,F44/'Gårdens info'!$G$39,0)</f>
        <v>0</v>
      </c>
      <c r="I44" s="119" t="s">
        <v>206</v>
      </c>
      <c r="J44" s="237">
        <f>Egendom!BE90</f>
        <v>0</v>
      </c>
      <c r="K44" s="119" t="s">
        <v>841</v>
      </c>
      <c r="L44" s="267"/>
      <c r="M44" s="259"/>
      <c r="N44" s="5"/>
      <c r="O44" s="5"/>
      <c r="P44" s="5"/>
      <c r="Q44" s="5"/>
      <c r="R44" s="5"/>
      <c r="S44" s="5"/>
      <c r="T44" s="5"/>
      <c r="U44" s="5"/>
      <c r="AB44" s="5"/>
      <c r="AC44" s="5"/>
    </row>
    <row r="45" spans="1:29" s="5" customFormat="1" ht="21" x14ac:dyDescent="0.4">
      <c r="A45" s="548"/>
      <c r="B45" s="287"/>
      <c r="C45" s="274" t="s">
        <v>230</v>
      </c>
      <c r="D45" s="270"/>
      <c r="E45" s="262"/>
      <c r="F45" s="276">
        <f>IF('Gårdens info'!$D$39&gt;0,J45/'Gårdens info'!$D$39,0)</f>
        <v>0</v>
      </c>
      <c r="G45" s="119" t="s">
        <v>57</v>
      </c>
      <c r="H45" s="277">
        <f>IF('Gårdens info'!$G$39&gt;0,F45/'Gårdens info'!$G$39,0)</f>
        <v>0</v>
      </c>
      <c r="I45" s="119" t="s">
        <v>206</v>
      </c>
      <c r="J45" s="237">
        <f>Egendom!CC90</f>
        <v>0</v>
      </c>
      <c r="K45" s="119" t="s">
        <v>841</v>
      </c>
      <c r="L45" s="267"/>
      <c r="M45" s="259"/>
    </row>
    <row r="46" spans="1:29" s="5" customFormat="1" ht="17.399999999999999" customHeight="1" x14ac:dyDescent="0.3">
      <c r="A46" s="548"/>
      <c r="B46" s="287"/>
      <c r="C46" s="1083" t="s">
        <v>232</v>
      </c>
      <c r="D46" s="1083"/>
      <c r="E46" s="262"/>
      <c r="F46" s="276">
        <f>IF('Gårdens info'!$D$39&gt;0,J46/'Gårdens info'!$D$39,0)</f>
        <v>0</v>
      </c>
      <c r="G46" s="119" t="s">
        <v>57</v>
      </c>
      <c r="H46" s="277">
        <f>IF('Gårdens info'!$G$39&gt;0,F46/'Gårdens info'!$G$39,0)</f>
        <v>0</v>
      </c>
      <c r="I46" s="119" t="s">
        <v>206</v>
      </c>
      <c r="J46" s="237">
        <f>Egendom!DA90</f>
        <v>0</v>
      </c>
      <c r="K46" s="119" t="s">
        <v>841</v>
      </c>
      <c r="L46" s="267"/>
      <c r="M46" s="259"/>
      <c r="N46"/>
      <c r="O46"/>
      <c r="P46"/>
      <c r="Q46"/>
      <c r="R46"/>
      <c r="S46"/>
      <c r="T46"/>
      <c r="U46"/>
    </row>
    <row r="47" spans="1:29" s="5" customFormat="1" ht="21" x14ac:dyDescent="0.4">
      <c r="A47" s="548"/>
      <c r="B47" s="287"/>
      <c r="C47" s="274" t="s">
        <v>234</v>
      </c>
      <c r="D47" s="270"/>
      <c r="E47" s="262"/>
      <c r="F47" s="276">
        <f>IF('Gårdens info'!$D$39&gt;0,J47/'Gårdens info'!$D$39,0)</f>
        <v>0</v>
      </c>
      <c r="G47" s="119" t="s">
        <v>57</v>
      </c>
      <c r="H47" s="277">
        <f>IF('Gårdens info'!$G$39&gt;0,F47/'Gårdens info'!$G$39,0)</f>
        <v>0</v>
      </c>
      <c r="I47" s="119" t="s">
        <v>206</v>
      </c>
      <c r="J47" s="237">
        <f>Egendom!DY90</f>
        <v>0</v>
      </c>
      <c r="K47" s="119" t="s">
        <v>841</v>
      </c>
      <c r="L47" s="267"/>
      <c r="M47" s="259"/>
    </row>
    <row r="48" spans="1:29" s="5" customFormat="1" ht="20.399999999999999" x14ac:dyDescent="0.35">
      <c r="A48" s="548"/>
      <c r="B48" s="289"/>
      <c r="C48" s="278" t="s">
        <v>54</v>
      </c>
      <c r="D48" s="279"/>
      <c r="E48" s="262"/>
      <c r="F48" s="280">
        <f>SUM(F44:F47)</f>
        <v>0</v>
      </c>
      <c r="G48" s="119" t="s">
        <v>57</v>
      </c>
      <c r="H48" s="285">
        <f t="shared" ref="H48:J48" si="4">SUM(H44:H47)</f>
        <v>0</v>
      </c>
      <c r="I48" s="119" t="s">
        <v>206</v>
      </c>
      <c r="J48" s="280">
        <f t="shared" si="4"/>
        <v>0</v>
      </c>
      <c r="K48" s="119" t="s">
        <v>841</v>
      </c>
      <c r="L48" s="281"/>
      <c r="M48" s="259"/>
    </row>
    <row r="49" spans="1:29" s="5" customFormat="1" ht="21" x14ac:dyDescent="0.4">
      <c r="A49" s="548"/>
      <c r="B49" s="287"/>
      <c r="C49" s="274"/>
      <c r="D49" s="270"/>
      <c r="E49" s="262"/>
      <c r="F49" s="276"/>
      <c r="G49" s="119"/>
      <c r="H49" s="277"/>
      <c r="I49" s="119"/>
      <c r="J49" s="237"/>
      <c r="K49" s="119"/>
      <c r="L49" s="267"/>
      <c r="M49" s="259"/>
    </row>
    <row r="50" spans="1:29" s="5" customFormat="1" ht="21" x14ac:dyDescent="0.4">
      <c r="A50" s="548"/>
      <c r="B50" s="1084" t="s">
        <v>139</v>
      </c>
      <c r="C50" s="1085"/>
      <c r="D50" s="270"/>
      <c r="E50" s="262"/>
      <c r="F50" s="276"/>
      <c r="G50" s="119"/>
      <c r="H50" s="277"/>
      <c r="I50" s="119"/>
      <c r="J50" s="237"/>
      <c r="K50" s="119"/>
      <c r="L50" s="267"/>
      <c r="M50" s="259"/>
    </row>
    <row r="51" spans="1:29" s="5" customFormat="1" ht="21" x14ac:dyDescent="0.4">
      <c r="A51" s="548"/>
      <c r="B51" s="287"/>
      <c r="C51" s="274" t="s">
        <v>229</v>
      </c>
      <c r="D51" s="270"/>
      <c r="E51" s="262"/>
      <c r="F51" s="276">
        <f>IF('Gårdens info'!$D$39&gt;0,J51/'Gårdens info'!$D$39,0)</f>
        <v>0</v>
      </c>
      <c r="G51" s="119" t="s">
        <v>57</v>
      </c>
      <c r="H51" s="277">
        <f>IF('Gårdens info'!$G$39&gt;0,F51/'Gårdens info'!$G$39,0)</f>
        <v>0</v>
      </c>
      <c r="I51" s="119" t="s">
        <v>206</v>
      </c>
      <c r="J51" s="237">
        <f>Egendom!BE93</f>
        <v>0</v>
      </c>
      <c r="K51" s="119" t="s">
        <v>841</v>
      </c>
      <c r="L51" s="267"/>
      <c r="M51" s="259"/>
    </row>
    <row r="52" spans="1:29" s="5" customFormat="1" ht="19.95" customHeight="1" x14ac:dyDescent="0.4">
      <c r="A52" s="548"/>
      <c r="B52" s="287"/>
      <c r="C52" s="274" t="s">
        <v>230</v>
      </c>
      <c r="D52" s="270"/>
      <c r="E52" s="262"/>
      <c r="F52" s="276">
        <f>IF('Gårdens info'!$D$39&gt;0,J52/'Gårdens info'!$D$39,0)</f>
        <v>0</v>
      </c>
      <c r="G52" s="119" t="s">
        <v>57</v>
      </c>
      <c r="H52" s="277">
        <f>IF('Gårdens info'!$G$39&gt;0,F52/'Gårdens info'!$G$39,0)</f>
        <v>0</v>
      </c>
      <c r="I52" s="119" t="s">
        <v>206</v>
      </c>
      <c r="J52" s="237">
        <f>Egendom!CC93</f>
        <v>0</v>
      </c>
      <c r="K52" s="119" t="s">
        <v>841</v>
      </c>
      <c r="L52" s="267"/>
      <c r="M52" s="259"/>
    </row>
    <row r="53" spans="1:29" s="5" customFormat="1" ht="17.399999999999999" customHeight="1" x14ac:dyDescent="0.3">
      <c r="A53" s="548"/>
      <c r="B53" s="287"/>
      <c r="C53" s="1083" t="s">
        <v>232</v>
      </c>
      <c r="D53" s="1083"/>
      <c r="E53" s="262"/>
      <c r="F53" s="276">
        <f>IF('Gårdens info'!$D$39&gt;0,J53/'Gårdens info'!$D$39,0)</f>
        <v>0</v>
      </c>
      <c r="G53" s="119" t="s">
        <v>57</v>
      </c>
      <c r="H53" s="277">
        <f>IF('Gårdens info'!$G$39&gt;0,F53/'Gårdens info'!$G$39,0)</f>
        <v>0</v>
      </c>
      <c r="I53" s="119" t="s">
        <v>206</v>
      </c>
      <c r="J53" s="237">
        <f>Egendom!DA93</f>
        <v>0</v>
      </c>
      <c r="K53" s="119" t="s">
        <v>841</v>
      </c>
      <c r="L53" s="267"/>
      <c r="M53" s="259"/>
    </row>
    <row r="54" spans="1:29" s="5" customFormat="1" ht="15.6" x14ac:dyDescent="0.3">
      <c r="A54" s="548"/>
      <c r="B54" s="286"/>
      <c r="C54" s="261" t="s">
        <v>54</v>
      </c>
      <c r="D54" s="261"/>
      <c r="E54" s="261"/>
      <c r="F54" s="280">
        <f>SUM(F51:F53)</f>
        <v>0</v>
      </c>
      <c r="G54" s="119" t="s">
        <v>57</v>
      </c>
      <c r="H54" s="285">
        <f t="shared" ref="H54:J54" si="5">SUM(H51:H53)</f>
        <v>0</v>
      </c>
      <c r="I54" s="119" t="s">
        <v>206</v>
      </c>
      <c r="J54" s="280">
        <f t="shared" si="5"/>
        <v>0</v>
      </c>
      <c r="K54" s="119" t="s">
        <v>841</v>
      </c>
      <c r="L54" s="284"/>
      <c r="M54" s="290"/>
    </row>
    <row r="55" spans="1:29" s="5" customFormat="1" ht="21" customHeight="1" x14ac:dyDescent="0.4">
      <c r="A55" s="548"/>
      <c r="B55" s="1061" t="s">
        <v>191</v>
      </c>
      <c r="C55" s="1043"/>
      <c r="D55" s="1043"/>
      <c r="E55" s="262"/>
      <c r="F55" s="266">
        <f>F34+F41+F48+F54</f>
        <v>0</v>
      </c>
      <c r="G55" s="267" t="s">
        <v>57</v>
      </c>
      <c r="H55" s="268">
        <f>H34+H41+H48+H54</f>
        <v>0</v>
      </c>
      <c r="I55" s="267" t="s">
        <v>206</v>
      </c>
      <c r="J55" s="269" t="e">
        <f>J34+J41+J48+J54</f>
        <v>#DIV/0!</v>
      </c>
      <c r="K55" s="267" t="s">
        <v>841</v>
      </c>
      <c r="L55" s="267"/>
      <c r="M55" s="259"/>
    </row>
    <row r="56" spans="1:29" s="5" customFormat="1" ht="15.6" x14ac:dyDescent="0.3">
      <c r="A56" s="548"/>
      <c r="B56" s="286"/>
      <c r="C56" s="262"/>
      <c r="D56" s="262"/>
      <c r="E56" s="262"/>
      <c r="F56" s="263"/>
      <c r="G56" s="243"/>
      <c r="H56" s="264"/>
      <c r="I56" s="243"/>
      <c r="J56" s="258"/>
      <c r="K56" s="243"/>
      <c r="L56" s="265"/>
      <c r="M56" s="259"/>
    </row>
    <row r="57" spans="1:29" s="5" customFormat="1" ht="21" x14ac:dyDescent="0.4">
      <c r="A57" s="548"/>
      <c r="B57" s="257" t="s">
        <v>192</v>
      </c>
      <c r="C57" s="262"/>
      <c r="D57" s="262"/>
      <c r="E57" s="262"/>
      <c r="F57" s="263"/>
      <c r="G57" s="243"/>
      <c r="H57" s="264"/>
      <c r="I57" s="243"/>
      <c r="J57" s="258"/>
      <c r="K57" s="243"/>
      <c r="L57" s="265"/>
      <c r="M57" s="259"/>
    </row>
    <row r="58" spans="1:29" s="5" customFormat="1" ht="15" x14ac:dyDescent="0.25">
      <c r="A58" s="548"/>
      <c r="B58" s="235"/>
      <c r="C58" s="228" t="s">
        <v>192</v>
      </c>
      <c r="D58" s="236"/>
      <c r="E58" s="236"/>
      <c r="F58" s="237">
        <f>IF('Gårdens info'!D39&gt;0,H134,0)</f>
        <v>0</v>
      </c>
      <c r="G58" s="119" t="s">
        <v>57</v>
      </c>
      <c r="H58" s="238">
        <f>IF('Gårdens info'!G39&gt;0,F58/'Gårdens info'!$G$39,0)</f>
        <v>0</v>
      </c>
      <c r="I58" s="119" t="s">
        <v>206</v>
      </c>
      <c r="J58" s="237">
        <f>F58*'Gårdens info'!D39</f>
        <v>0</v>
      </c>
      <c r="K58" s="119" t="s">
        <v>841</v>
      </c>
      <c r="L58" s="236"/>
      <c r="M58" s="239"/>
    </row>
    <row r="59" spans="1:29" s="5" customFormat="1" ht="17.399999999999999" x14ac:dyDescent="0.3">
      <c r="A59" s="548"/>
      <c r="B59" s="248"/>
      <c r="C59" s="245"/>
      <c r="D59" s="249"/>
      <c r="E59" s="249"/>
      <c r="F59" s="250"/>
      <c r="G59" s="120"/>
      <c r="H59" s="249"/>
      <c r="I59" s="249"/>
      <c r="J59" s="249"/>
      <c r="K59" s="249"/>
      <c r="L59" s="249"/>
      <c r="M59" s="234"/>
    </row>
    <row r="60" spans="1:29" s="5" customFormat="1" ht="21" customHeight="1" x14ac:dyDescent="0.4">
      <c r="A60" s="548"/>
      <c r="B60" s="1061" t="s">
        <v>192</v>
      </c>
      <c r="C60" s="1043"/>
      <c r="D60" s="1043"/>
      <c r="E60" s="262"/>
      <c r="F60" s="266">
        <f>F58</f>
        <v>0</v>
      </c>
      <c r="G60" s="267" t="s">
        <v>57</v>
      </c>
      <c r="H60" s="268">
        <f>H58</f>
        <v>0</v>
      </c>
      <c r="I60" s="267" t="s">
        <v>206</v>
      </c>
      <c r="J60" s="269">
        <f>J58</f>
        <v>0</v>
      </c>
      <c r="K60" s="267" t="s">
        <v>841</v>
      </c>
      <c r="L60" s="267"/>
      <c r="M60" s="259"/>
    </row>
    <row r="61" spans="1:29" s="5" customFormat="1" ht="21" x14ac:dyDescent="0.4">
      <c r="A61" s="548"/>
      <c r="B61" s="288"/>
      <c r="C61" s="270"/>
      <c r="D61" s="270"/>
      <c r="E61" s="262"/>
      <c r="F61" s="266"/>
      <c r="G61" s="267"/>
      <c r="H61" s="268"/>
      <c r="I61" s="267"/>
      <c r="J61" s="269"/>
      <c r="K61" s="267"/>
      <c r="L61" s="267"/>
      <c r="M61" s="259"/>
    </row>
    <row r="62" spans="1:29" s="5" customFormat="1" ht="21" customHeight="1" x14ac:dyDescent="0.4">
      <c r="A62" s="548"/>
      <c r="B62" s="1061" t="s">
        <v>822</v>
      </c>
      <c r="C62" s="1043"/>
      <c r="D62" s="1043"/>
      <c r="E62" s="262"/>
      <c r="F62" s="266">
        <f>F26+F55+F60</f>
        <v>0</v>
      </c>
      <c r="G62" s="267" t="s">
        <v>57</v>
      </c>
      <c r="H62" s="572">
        <f>H26+H55+H60</f>
        <v>0</v>
      </c>
      <c r="I62" s="267" t="s">
        <v>206</v>
      </c>
      <c r="J62" s="266" t="e">
        <f>J26+J55+J60</f>
        <v>#DIV/0!</v>
      </c>
      <c r="K62" s="267" t="s">
        <v>841</v>
      </c>
      <c r="L62" s="267"/>
      <c r="M62" s="259"/>
    </row>
    <row r="63" spans="1:29" s="5" customFormat="1" ht="21" x14ac:dyDescent="0.4">
      <c r="A63" s="548"/>
      <c r="B63" s="288"/>
      <c r="C63" s="270"/>
      <c r="D63" s="270"/>
      <c r="E63" s="262"/>
      <c r="F63" s="266"/>
      <c r="G63" s="267"/>
      <c r="H63" s="268"/>
      <c r="I63" s="267"/>
      <c r="J63" s="269"/>
      <c r="K63" s="267"/>
      <c r="L63" s="267"/>
      <c r="M63" s="259"/>
    </row>
    <row r="64" spans="1:29" s="5" customFormat="1" ht="21.6" customHeight="1" thickBot="1" x14ac:dyDescent="0.45">
      <c r="A64" s="548"/>
      <c r="B64" s="1059" t="s">
        <v>198</v>
      </c>
      <c r="C64" s="1060"/>
      <c r="D64" s="1060"/>
      <c r="E64" s="253"/>
      <c r="F64" s="292">
        <f>F11-F26-F55-F60</f>
        <v>0</v>
      </c>
      <c r="G64" s="293" t="s">
        <v>57</v>
      </c>
      <c r="H64" s="294">
        <f>H11-H26-H55-H60</f>
        <v>0.315</v>
      </c>
      <c r="I64" s="293" t="s">
        <v>206</v>
      </c>
      <c r="J64" s="292" t="e">
        <f>J11-J26-J55-J60</f>
        <v>#DIV/0!</v>
      </c>
      <c r="K64" s="293" t="s">
        <v>841</v>
      </c>
      <c r="L64" s="293"/>
      <c r="M64" s="254"/>
      <c r="AB64" s="194"/>
      <c r="AC64" s="194"/>
    </row>
    <row r="65" spans="1:29" s="5" customFormat="1" ht="21" x14ac:dyDescent="0.4">
      <c r="A65" s="548"/>
      <c r="B65" s="55"/>
      <c r="C65"/>
      <c r="D65"/>
      <c r="E65"/>
      <c r="F65"/>
      <c r="G65"/>
      <c r="H65"/>
      <c r="I65"/>
      <c r="J65"/>
      <c r="K65"/>
      <c r="L65"/>
      <c r="M65"/>
    </row>
    <row r="66" spans="1:29" s="194" customFormat="1" ht="16.2" thickBot="1" x14ac:dyDescent="0.35">
      <c r="A66" s="552"/>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548"/>
      <c r="B67" s="1078" t="s">
        <v>389</v>
      </c>
      <c r="C67" s="1079"/>
      <c r="D67" s="1079"/>
      <c r="E67" s="1080"/>
      <c r="F67"/>
      <c r="G67"/>
      <c r="H67"/>
      <c r="I67"/>
      <c r="J67"/>
      <c r="K67"/>
      <c r="L67" s="1073" t="s">
        <v>241</v>
      </c>
      <c r="M67" s="1073"/>
      <c r="AB67"/>
      <c r="AC67"/>
    </row>
    <row r="68" spans="1:29" s="5" customFormat="1" ht="21" x14ac:dyDescent="0.4">
      <c r="A68" s="548"/>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113</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180</v>
      </c>
      <c r="D71" s="44"/>
      <c r="E71" s="44"/>
      <c r="F71" s="74">
        <v>270</v>
      </c>
      <c r="G71" s="44" t="s">
        <v>8</v>
      </c>
      <c r="H71" s="74">
        <v>0.45</v>
      </c>
      <c r="I71" s="49" t="s">
        <v>206</v>
      </c>
      <c r="J71" s="191">
        <f>F71*H71</f>
        <v>121.5</v>
      </c>
      <c r="K71" s="44" t="s">
        <v>57</v>
      </c>
      <c r="L71" s="46"/>
      <c r="M71" s="46"/>
      <c r="AB71" s="5"/>
      <c r="AC71" s="5"/>
    </row>
    <row r="72" spans="1:29" ht="13.8" thickBot="1" x14ac:dyDescent="0.3">
      <c r="B72" s="44"/>
      <c r="C72" s="45" t="s">
        <v>823</v>
      </c>
      <c r="D72" s="46"/>
      <c r="E72" s="44"/>
      <c r="F72" s="74"/>
      <c r="G72" s="44" t="s">
        <v>8</v>
      </c>
      <c r="H72" s="74"/>
      <c r="I72" s="49" t="s">
        <v>206</v>
      </c>
      <c r="J72" s="191">
        <f>F72*H72</f>
        <v>0</v>
      </c>
      <c r="K72" s="44" t="s">
        <v>57</v>
      </c>
      <c r="L72" s="44"/>
      <c r="M72" s="46"/>
    </row>
    <row r="73" spans="1:29" s="5" customFormat="1" x14ac:dyDescent="0.25">
      <c r="A73" s="548"/>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548"/>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550"/>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550"/>
      <c r="B77" s="97"/>
      <c r="C77" s="97" t="s">
        <v>824</v>
      </c>
      <c r="D77" s="97"/>
      <c r="E77" s="97"/>
      <c r="F77" s="74">
        <v>370</v>
      </c>
      <c r="G77" s="97" t="s">
        <v>212</v>
      </c>
      <c r="H77" s="77">
        <v>0.41</v>
      </c>
      <c r="I77" s="98" t="s">
        <v>206</v>
      </c>
      <c r="J77" s="100">
        <f t="shared" ref="J77:J78" si="6">F77*H77</f>
        <v>151.69999999999999</v>
      </c>
      <c r="K77" s="97" t="s">
        <v>57</v>
      </c>
      <c r="L77" s="99"/>
      <c r="M77" s="99"/>
      <c r="AB77" s="69"/>
      <c r="AC77" s="69"/>
    </row>
    <row r="78" spans="1:29" ht="15.6" thickBot="1" x14ac:dyDescent="0.3">
      <c r="B78" s="97"/>
      <c r="C78" s="97" t="s">
        <v>251</v>
      </c>
      <c r="D78" s="97"/>
      <c r="E78" s="97"/>
      <c r="F78" s="74"/>
      <c r="G78" s="97" t="s">
        <v>212</v>
      </c>
      <c r="H78" s="77"/>
      <c r="I78" s="98" t="s">
        <v>206</v>
      </c>
      <c r="J78" s="100">
        <f t="shared" si="6"/>
        <v>0</v>
      </c>
      <c r="K78" s="97" t="s">
        <v>57</v>
      </c>
      <c r="L78" s="99"/>
      <c r="M78" s="99"/>
      <c r="N78" s="69"/>
      <c r="O78" s="69"/>
      <c r="P78" s="69"/>
      <c r="Q78" s="69"/>
      <c r="R78" s="69"/>
      <c r="S78" s="69"/>
      <c r="T78" s="69"/>
      <c r="U78" s="69"/>
      <c r="AB78" s="5"/>
      <c r="AC78" s="5"/>
    </row>
    <row r="79" spans="1:29" s="69" customFormat="1" ht="17.399999999999999" x14ac:dyDescent="0.3">
      <c r="A79" s="549"/>
      <c r="B79" s="214"/>
      <c r="C79" s="214" t="s">
        <v>54</v>
      </c>
      <c r="D79" s="214"/>
      <c r="E79" s="214"/>
      <c r="F79" s="214"/>
      <c r="G79" s="214"/>
      <c r="H79" s="214"/>
      <c r="I79" s="215"/>
      <c r="J79" s="216">
        <f>SUM(J77:J78)</f>
        <v>151.69999999999999</v>
      </c>
      <c r="K79" s="214" t="s">
        <v>57</v>
      </c>
      <c r="L79" s="214"/>
      <c r="M79" s="214"/>
      <c r="N79" s="56"/>
      <c r="O79" s="56"/>
      <c r="P79" s="56"/>
      <c r="Q79" s="56"/>
      <c r="R79" s="56"/>
      <c r="S79" s="56"/>
      <c r="T79" s="56"/>
      <c r="U79" s="56"/>
      <c r="AB79" s="5"/>
      <c r="AC79" s="5"/>
    </row>
    <row r="80" spans="1:29" s="5" customFormat="1" x14ac:dyDescent="0.25">
      <c r="A80" s="548"/>
      <c r="B80" s="97"/>
      <c r="C80" s="97"/>
      <c r="D80" s="97"/>
      <c r="E80" s="97"/>
      <c r="F80" s="97"/>
      <c r="G80" s="97"/>
      <c r="H80" s="97"/>
      <c r="I80" s="98"/>
      <c r="J80" s="100"/>
      <c r="K80" s="97"/>
      <c r="L80" s="99"/>
      <c r="M80" s="99"/>
      <c r="N80"/>
      <c r="O80"/>
      <c r="P80"/>
      <c r="Q80"/>
      <c r="R80"/>
      <c r="S80"/>
      <c r="T80"/>
      <c r="U80"/>
    </row>
    <row r="81" spans="1:29" s="5" customFormat="1" ht="15" x14ac:dyDescent="0.25">
      <c r="A81" s="548"/>
      <c r="B81"/>
      <c r="C81"/>
      <c r="D81"/>
      <c r="E81"/>
      <c r="F81"/>
      <c r="G81"/>
      <c r="H81"/>
      <c r="I81"/>
      <c r="J81"/>
      <c r="K81"/>
      <c r="L81"/>
      <c r="M81"/>
      <c r="N81" s="69"/>
      <c r="O81" s="69"/>
      <c r="P81" s="69"/>
      <c r="Q81" s="69"/>
      <c r="R81" s="69"/>
      <c r="S81" s="69"/>
      <c r="T81" s="69"/>
      <c r="U81" s="69"/>
      <c r="AB81"/>
      <c r="AC81"/>
    </row>
    <row r="82" spans="1:29" s="5" customFormat="1" ht="15.6" x14ac:dyDescent="0.3">
      <c r="A82" s="548"/>
      <c r="B82" s="85" t="s">
        <v>252</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x14ac:dyDescent="0.25">
      <c r="B85" s="171" t="s">
        <v>254</v>
      </c>
      <c r="C85" s="51"/>
      <c r="D85" s="51"/>
      <c r="E85" s="51"/>
      <c r="F85" s="53"/>
      <c r="G85" s="53"/>
      <c r="H85" s="52"/>
      <c r="I85" s="52"/>
      <c r="J85" s="58"/>
      <c r="K85" s="58"/>
      <c r="L85" s="58"/>
      <c r="M85" s="58"/>
    </row>
    <row r="86" spans="1:29" ht="13.8" thickBot="1" x14ac:dyDescent="0.3">
      <c r="B86" s="171"/>
      <c r="C86" s="51"/>
      <c r="D86" s="51"/>
      <c r="E86" s="51"/>
      <c r="F86" s="53"/>
      <c r="G86" s="53"/>
      <c r="H86" s="52"/>
      <c r="I86" s="52"/>
      <c r="J86" s="58"/>
      <c r="K86" s="58"/>
      <c r="L86" s="58"/>
      <c r="M86" s="58"/>
    </row>
    <row r="87" spans="1:29" ht="13.8" thickBot="1" x14ac:dyDescent="0.3">
      <c r="B87" s="51"/>
      <c r="C87" s="51" t="s">
        <v>825</v>
      </c>
      <c r="D87" s="58"/>
      <c r="E87" s="51"/>
      <c r="F87" s="95">
        <v>0.8</v>
      </c>
      <c r="G87" s="53" t="s">
        <v>256</v>
      </c>
      <c r="H87" s="77">
        <v>15.32</v>
      </c>
      <c r="I87" s="52" t="s">
        <v>257</v>
      </c>
      <c r="J87" s="463">
        <f t="shared" ref="J87:J91" si="7">F87*H87</f>
        <v>12.256</v>
      </c>
      <c r="K87" s="51" t="s">
        <v>57</v>
      </c>
      <c r="L87" s="58"/>
      <c r="M87" s="58"/>
    </row>
    <row r="88" spans="1:29" ht="13.8" thickBot="1" x14ac:dyDescent="0.3">
      <c r="B88" s="51"/>
      <c r="C88" s="51" t="s">
        <v>826</v>
      </c>
      <c r="D88" s="51"/>
      <c r="E88" s="51"/>
      <c r="F88" s="95">
        <v>7.5</v>
      </c>
      <c r="G88" s="53" t="s">
        <v>260</v>
      </c>
      <c r="H88" s="77">
        <v>2.15</v>
      </c>
      <c r="I88" s="52" t="s">
        <v>261</v>
      </c>
      <c r="J88" s="463">
        <f t="shared" si="7"/>
        <v>16.125</v>
      </c>
      <c r="K88" s="51" t="s">
        <v>57</v>
      </c>
      <c r="L88" s="58"/>
      <c r="M88" s="58"/>
    </row>
    <row r="89" spans="1:29" ht="13.8" thickBot="1" x14ac:dyDescent="0.3">
      <c r="B89" s="51"/>
      <c r="C89" s="51" t="s">
        <v>827</v>
      </c>
      <c r="D89" s="51"/>
      <c r="E89" s="51"/>
      <c r="F89" s="95">
        <v>0.3</v>
      </c>
      <c r="G89" s="53" t="s">
        <v>260</v>
      </c>
      <c r="H89" s="77">
        <v>42.34</v>
      </c>
      <c r="I89" s="52" t="s">
        <v>257</v>
      </c>
      <c r="J89" s="463">
        <f t="shared" si="7"/>
        <v>12.702</v>
      </c>
      <c r="K89" s="51" t="s">
        <v>57</v>
      </c>
      <c r="L89" s="58"/>
      <c r="M89" s="58"/>
    </row>
    <row r="90" spans="1:29" ht="13.8" thickBot="1" x14ac:dyDescent="0.3">
      <c r="B90" s="51"/>
      <c r="C90" s="51" t="s">
        <v>265</v>
      </c>
      <c r="D90" s="51"/>
      <c r="E90" s="51"/>
      <c r="F90" s="95"/>
      <c r="G90" s="53" t="s">
        <v>256</v>
      </c>
      <c r="H90" s="77"/>
      <c r="I90" s="52" t="s">
        <v>257</v>
      </c>
      <c r="J90" s="463">
        <f t="shared" si="7"/>
        <v>0</v>
      </c>
      <c r="K90" s="51" t="s">
        <v>57</v>
      </c>
      <c r="L90" s="58"/>
      <c r="M90" s="58"/>
    </row>
    <row r="91" spans="1:29" ht="13.8" thickBot="1" x14ac:dyDescent="0.3">
      <c r="B91" s="51"/>
      <c r="C91" s="51" t="s">
        <v>265</v>
      </c>
      <c r="D91" s="51"/>
      <c r="E91" s="51"/>
      <c r="F91" s="95"/>
      <c r="G91" s="53" t="s">
        <v>256</v>
      </c>
      <c r="H91" s="77"/>
      <c r="I91" s="52" t="s">
        <v>257</v>
      </c>
      <c r="J91" s="463">
        <f t="shared" si="7"/>
        <v>0</v>
      </c>
      <c r="K91" s="51" t="s">
        <v>57</v>
      </c>
      <c r="L91" s="58"/>
      <c r="M91" s="58"/>
    </row>
    <row r="92" spans="1:29" x14ac:dyDescent="0.25">
      <c r="B92" s="51"/>
      <c r="C92" s="51"/>
      <c r="D92" s="51"/>
      <c r="E92" s="51"/>
      <c r="F92" s="53"/>
      <c r="G92" s="53"/>
      <c r="H92" s="52"/>
      <c r="I92" s="52"/>
      <c r="J92" s="58"/>
      <c r="K92" s="51"/>
      <c r="L92" s="58"/>
      <c r="M92" s="58"/>
    </row>
    <row r="93" spans="1:29" ht="13.8" thickBot="1" x14ac:dyDescent="0.3">
      <c r="B93" s="171" t="s">
        <v>266</v>
      </c>
      <c r="C93" s="51"/>
      <c r="D93" s="51"/>
      <c r="E93" s="51"/>
      <c r="F93" s="53"/>
      <c r="G93" s="53"/>
      <c r="H93" s="52"/>
      <c r="I93" s="52"/>
      <c r="J93" s="58"/>
      <c r="K93" s="51"/>
      <c r="L93" s="58"/>
      <c r="M93" s="58"/>
    </row>
    <row r="94" spans="1:29" ht="13.8" thickBot="1" x14ac:dyDescent="0.3">
      <c r="B94" s="51"/>
      <c r="C94" s="51" t="s">
        <v>267</v>
      </c>
      <c r="D94" s="51"/>
      <c r="E94" s="51"/>
      <c r="F94" s="95"/>
      <c r="G94" s="53" t="s">
        <v>256</v>
      </c>
      <c r="H94" s="95"/>
      <c r="I94" s="52" t="s">
        <v>257</v>
      </c>
      <c r="J94" s="58">
        <f t="shared" ref="J94:J96" si="8">F94*H94</f>
        <v>0</v>
      </c>
      <c r="K94" s="51" t="s">
        <v>57</v>
      </c>
      <c r="L94" s="58"/>
      <c r="M94" s="58"/>
    </row>
    <row r="95" spans="1:29" ht="13.8" thickBot="1" x14ac:dyDescent="0.3">
      <c r="B95" s="51"/>
      <c r="C95" s="51" t="s">
        <v>267</v>
      </c>
      <c r="D95" s="51"/>
      <c r="E95" s="51"/>
      <c r="F95" s="95"/>
      <c r="G95" s="53" t="s">
        <v>256</v>
      </c>
      <c r="H95" s="95"/>
      <c r="I95" s="52" t="s">
        <v>257</v>
      </c>
      <c r="J95" s="58">
        <f t="shared" si="8"/>
        <v>0</v>
      </c>
      <c r="K95" s="51" t="s">
        <v>57</v>
      </c>
      <c r="L95" s="58"/>
      <c r="M95" s="58"/>
      <c r="AB95" s="5"/>
      <c r="AC95" s="5"/>
    </row>
    <row r="96" spans="1:29" ht="13.8" thickBot="1" x14ac:dyDescent="0.3">
      <c r="B96" s="51"/>
      <c r="C96" s="51" t="s">
        <v>267</v>
      </c>
      <c r="D96" s="51"/>
      <c r="E96" s="51"/>
      <c r="F96" s="95"/>
      <c r="G96" s="53" t="s">
        <v>256</v>
      </c>
      <c r="H96" s="95"/>
      <c r="I96" s="52" t="s">
        <v>257</v>
      </c>
      <c r="J96" s="58">
        <f t="shared" si="8"/>
        <v>0</v>
      </c>
      <c r="K96" s="51" t="s">
        <v>57</v>
      </c>
      <c r="L96" s="58"/>
      <c r="M96" s="58"/>
    </row>
    <row r="97" spans="1:29" s="5" customFormat="1" x14ac:dyDescent="0.25">
      <c r="A97" s="548"/>
      <c r="B97" s="195"/>
      <c r="C97" s="195" t="s">
        <v>54</v>
      </c>
      <c r="D97" s="195"/>
      <c r="E97" s="195"/>
      <c r="F97" s="196"/>
      <c r="G97" s="196"/>
      <c r="H97" s="196"/>
      <c r="I97" s="197"/>
      <c r="J97" s="197">
        <f>SUM(J87:J96)</f>
        <v>41.082999999999998</v>
      </c>
      <c r="K97" s="195" t="s">
        <v>57</v>
      </c>
      <c r="L97" s="195"/>
      <c r="M97" s="195"/>
      <c r="AB97"/>
      <c r="AC97"/>
    </row>
    <row r="98" spans="1:29" x14ac:dyDescent="0.25">
      <c r="B98" s="51"/>
      <c r="C98" s="51"/>
      <c r="D98" s="51"/>
      <c r="E98" s="51"/>
      <c r="F98" s="53"/>
      <c r="G98" s="53"/>
      <c r="H98" s="52"/>
      <c r="I98" s="52"/>
      <c r="J98" s="58"/>
      <c r="K98" s="51"/>
      <c r="L98" s="58"/>
      <c r="M98" s="58"/>
    </row>
    <row r="99" spans="1:29" x14ac:dyDescent="0.25">
      <c r="A99" s="553"/>
    </row>
    <row r="100" spans="1:29" ht="15.6" x14ac:dyDescent="0.3">
      <c r="A100" s="553"/>
      <c r="B100" s="176" t="s">
        <v>275</v>
      </c>
      <c r="C100" s="177"/>
      <c r="D100" s="177"/>
      <c r="E100" s="177"/>
      <c r="F100" s="1067" t="s">
        <v>114</v>
      </c>
      <c r="G100" s="1067"/>
      <c r="H100" s="1067" t="s">
        <v>113</v>
      </c>
      <c r="I100" s="1067"/>
      <c r="J100" s="1067" t="s">
        <v>243</v>
      </c>
      <c r="K100" s="1067"/>
      <c r="L100" s="179"/>
      <c r="M100" s="179"/>
    </row>
    <row r="101" spans="1:29" ht="13.8" thickBot="1" x14ac:dyDescent="0.3">
      <c r="A101" s="553"/>
      <c r="B101" s="177"/>
      <c r="C101" s="177"/>
      <c r="D101" s="177"/>
      <c r="E101" s="177"/>
      <c r="F101" s="177"/>
      <c r="G101" s="177"/>
      <c r="H101" s="178"/>
      <c r="I101" s="178"/>
      <c r="J101" s="179"/>
      <c r="K101" s="179"/>
      <c r="L101" s="179"/>
      <c r="M101" s="179"/>
    </row>
    <row r="102" spans="1:29" ht="13.8" thickBot="1" x14ac:dyDescent="0.3">
      <c r="A102" s="553"/>
      <c r="B102" s="177"/>
      <c r="C102" s="177" t="s">
        <v>828</v>
      </c>
      <c r="D102" s="179"/>
      <c r="E102" s="177"/>
      <c r="F102" s="74">
        <f>'Gårdens info'!D39</f>
        <v>0</v>
      </c>
      <c r="G102" s="177" t="s">
        <v>7</v>
      </c>
      <c r="H102" s="77">
        <v>80</v>
      </c>
      <c r="I102" s="178" t="s">
        <v>57</v>
      </c>
      <c r="J102" s="180">
        <f t="shared" ref="J102:J105" si="9">F102*H102</f>
        <v>0</v>
      </c>
      <c r="K102" s="177" t="s">
        <v>57</v>
      </c>
      <c r="L102" s="179"/>
      <c r="M102" s="179"/>
    </row>
    <row r="103" spans="1:29" ht="13.8" thickBot="1" x14ac:dyDescent="0.3">
      <c r="A103" s="553"/>
      <c r="B103" s="177"/>
      <c r="C103" s="177" t="s">
        <v>829</v>
      </c>
      <c r="D103" s="179"/>
      <c r="E103" s="177"/>
      <c r="F103" s="74">
        <f>'Gårdens info'!D40</f>
        <v>0</v>
      </c>
      <c r="G103" s="177" t="s">
        <v>7</v>
      </c>
      <c r="H103" s="76">
        <f>45*7</f>
        <v>315</v>
      </c>
      <c r="I103" s="178" t="s">
        <v>57</v>
      </c>
      <c r="J103" s="180">
        <f t="shared" si="9"/>
        <v>0</v>
      </c>
      <c r="K103" s="177" t="s">
        <v>57</v>
      </c>
      <c r="L103" s="179"/>
      <c r="M103" s="179"/>
    </row>
    <row r="104" spans="1:29" ht="13.8" thickBot="1" x14ac:dyDescent="0.3">
      <c r="B104" s="177"/>
      <c r="C104" s="177" t="s">
        <v>276</v>
      </c>
      <c r="D104" s="177"/>
      <c r="E104" s="177"/>
      <c r="F104" s="74"/>
      <c r="G104" s="177" t="s">
        <v>7</v>
      </c>
      <c r="H104" s="77"/>
      <c r="I104" s="178" t="s">
        <v>57</v>
      </c>
      <c r="J104" s="180">
        <f t="shared" si="9"/>
        <v>0</v>
      </c>
      <c r="K104" s="177" t="s">
        <v>57</v>
      </c>
      <c r="L104" s="179"/>
      <c r="M104" s="179"/>
      <c r="AB104" s="5"/>
      <c r="AC104" s="5"/>
    </row>
    <row r="105" spans="1:29" ht="13.8" thickBot="1" x14ac:dyDescent="0.3">
      <c r="B105" s="177"/>
      <c r="C105" s="177" t="s">
        <v>276</v>
      </c>
      <c r="D105" s="177"/>
      <c r="E105" s="177"/>
      <c r="F105" s="74"/>
      <c r="G105" s="177" t="s">
        <v>7</v>
      </c>
      <c r="H105" s="77"/>
      <c r="I105" s="178" t="s">
        <v>57</v>
      </c>
      <c r="J105" s="180">
        <f t="shared" si="9"/>
        <v>0</v>
      </c>
      <c r="K105" s="177" t="s">
        <v>57</v>
      </c>
      <c r="L105" s="179"/>
      <c r="M105" s="179"/>
    </row>
    <row r="106" spans="1:29" s="5" customFormat="1" x14ac:dyDescent="0.25">
      <c r="A106" s="548"/>
      <c r="B106" s="204"/>
      <c r="C106" s="204" t="s">
        <v>54</v>
      </c>
      <c r="D106" s="204"/>
      <c r="E106" s="204"/>
      <c r="F106" s="204"/>
      <c r="G106" s="204"/>
      <c r="H106" s="205"/>
      <c r="I106" s="205"/>
      <c r="J106" s="206">
        <f>SUM(J102:J105)</f>
        <v>0</v>
      </c>
      <c r="K106" s="204" t="s">
        <v>57</v>
      </c>
      <c r="L106" s="204"/>
      <c r="M106" s="204"/>
      <c r="N106"/>
      <c r="O106"/>
      <c r="P106"/>
      <c r="Q106"/>
      <c r="R106"/>
      <c r="S106"/>
      <c r="T106"/>
      <c r="U106"/>
      <c r="AB106"/>
      <c r="AC106"/>
    </row>
    <row r="107" spans="1:29" x14ac:dyDescent="0.25">
      <c r="B107" s="177"/>
      <c r="C107" s="177"/>
      <c r="D107" s="177"/>
      <c r="E107" s="177"/>
      <c r="F107" s="177"/>
      <c r="G107" s="177"/>
      <c r="H107" s="178"/>
      <c r="I107" s="178"/>
      <c r="J107" s="180"/>
      <c r="K107" s="177"/>
      <c r="L107" s="179"/>
      <c r="M107" s="179"/>
    </row>
    <row r="108" spans="1:29" ht="30" customHeight="1" x14ac:dyDescent="0.25">
      <c r="N108" s="5"/>
      <c r="O108" s="5"/>
      <c r="P108" s="5"/>
      <c r="Q108" s="5"/>
      <c r="R108" s="5"/>
      <c r="S108" s="5"/>
      <c r="T108" s="5"/>
      <c r="U108" s="5"/>
    </row>
    <row r="109" spans="1:29" ht="15.6" x14ac:dyDescent="0.3">
      <c r="B109" s="181" t="s">
        <v>830</v>
      </c>
      <c r="C109" s="182"/>
      <c r="D109" s="182"/>
      <c r="E109" s="183"/>
      <c r="F109" s="182" t="s">
        <v>114</v>
      </c>
      <c r="G109" s="184"/>
      <c r="H109" s="184" t="s">
        <v>113</v>
      </c>
      <c r="I109" s="182"/>
      <c r="J109" s="182" t="s">
        <v>243</v>
      </c>
      <c r="K109" s="185"/>
      <c r="L109" s="185"/>
      <c r="M109" s="185"/>
    </row>
    <row r="110" spans="1:29" ht="16.2" thickBot="1" x14ac:dyDescent="0.35">
      <c r="B110" s="181"/>
      <c r="C110" s="182"/>
      <c r="D110" s="182"/>
      <c r="E110" s="183"/>
      <c r="F110" s="182"/>
      <c r="G110" s="184"/>
      <c r="H110" s="184"/>
      <c r="I110" s="182"/>
      <c r="J110" s="182"/>
      <c r="K110" s="185"/>
      <c r="L110" s="185"/>
      <c r="M110" s="185"/>
    </row>
    <row r="111" spans="1:29" ht="13.8" thickBot="1" x14ac:dyDescent="0.3">
      <c r="B111" s="182"/>
      <c r="C111" s="182" t="s">
        <v>278</v>
      </c>
      <c r="D111" s="185"/>
      <c r="E111" s="186"/>
      <c r="F111" s="74"/>
      <c r="G111" s="187" t="s">
        <v>279</v>
      </c>
      <c r="H111" s="74"/>
      <c r="I111" s="188" t="s">
        <v>280</v>
      </c>
      <c r="J111" s="185">
        <f>H111*F111</f>
        <v>0</v>
      </c>
      <c r="K111" s="188" t="s">
        <v>57</v>
      </c>
      <c r="L111" s="185"/>
      <c r="M111" s="185"/>
    </row>
    <row r="112" spans="1:29" ht="13.8" thickBot="1" x14ac:dyDescent="0.3">
      <c r="B112" s="182"/>
      <c r="C112" s="182" t="s">
        <v>698</v>
      </c>
      <c r="D112" s="188">
        <f>F134/2</f>
        <v>4.5</v>
      </c>
      <c r="E112" s="182" t="s">
        <v>282</v>
      </c>
      <c r="F112" s="74">
        <f>+D112*8</f>
        <v>36</v>
      </c>
      <c r="G112" s="184" t="s">
        <v>256</v>
      </c>
      <c r="H112" s="74">
        <v>0.83</v>
      </c>
      <c r="I112" s="188" t="s">
        <v>257</v>
      </c>
      <c r="J112" s="185">
        <f>H112*F112</f>
        <v>29.88</v>
      </c>
      <c r="K112" s="188" t="s">
        <v>57</v>
      </c>
      <c r="L112" s="185"/>
      <c r="M112" s="185"/>
    </row>
    <row r="113" spans="1:29" ht="13.8" thickBot="1" x14ac:dyDescent="0.3">
      <c r="B113" s="182"/>
      <c r="C113" s="182" t="s">
        <v>686</v>
      </c>
      <c r="D113" s="188">
        <f>D112</f>
        <v>4.5</v>
      </c>
      <c r="E113" s="182" t="s">
        <v>282</v>
      </c>
      <c r="F113" s="74">
        <v>11.88</v>
      </c>
      <c r="G113" s="184" t="s">
        <v>212</v>
      </c>
      <c r="H113" s="74">
        <v>4</v>
      </c>
      <c r="I113" s="188" t="s">
        <v>206</v>
      </c>
      <c r="J113" s="185">
        <f t="shared" ref="J113:J117" si="10">H113*F113</f>
        <v>47.52</v>
      </c>
      <c r="K113" s="188" t="s">
        <v>57</v>
      </c>
      <c r="L113" s="185"/>
      <c r="M113" s="185"/>
    </row>
    <row r="114" spans="1:29" ht="13.8" thickBot="1" x14ac:dyDescent="0.3">
      <c r="B114" s="182"/>
      <c r="C114" s="182" t="s">
        <v>284</v>
      </c>
      <c r="D114" s="185"/>
      <c r="E114" s="188"/>
      <c r="F114" s="74"/>
      <c r="G114" s="184" t="s">
        <v>256</v>
      </c>
      <c r="H114" s="74"/>
      <c r="I114" s="188" t="s">
        <v>257</v>
      </c>
      <c r="J114" s="185">
        <f t="shared" si="10"/>
        <v>0</v>
      </c>
      <c r="K114" s="188" t="s">
        <v>57</v>
      </c>
      <c r="L114" s="185"/>
      <c r="M114" s="185"/>
    </row>
    <row r="115" spans="1:29" ht="13.8" thickBot="1" x14ac:dyDescent="0.3">
      <c r="B115" s="182"/>
      <c r="C115" s="182" t="s">
        <v>286</v>
      </c>
      <c r="D115" s="185"/>
      <c r="E115" s="188"/>
      <c r="F115" s="74"/>
      <c r="G115" s="184" t="s">
        <v>256</v>
      </c>
      <c r="H115" s="74"/>
      <c r="I115" s="188" t="s">
        <v>257</v>
      </c>
      <c r="J115" s="185">
        <f t="shared" si="10"/>
        <v>0</v>
      </c>
      <c r="K115" s="188" t="s">
        <v>57</v>
      </c>
      <c r="L115" s="185"/>
      <c r="M115" s="185"/>
    </row>
    <row r="116" spans="1:29" ht="13.8" thickBot="1" x14ac:dyDescent="0.3">
      <c r="B116" s="182"/>
      <c r="C116" s="182" t="s">
        <v>286</v>
      </c>
      <c r="D116" s="185"/>
      <c r="E116" s="188"/>
      <c r="F116" s="74"/>
      <c r="G116" s="184"/>
      <c r="H116" s="74"/>
      <c r="I116" s="188"/>
      <c r="J116" s="185">
        <f t="shared" si="10"/>
        <v>0</v>
      </c>
      <c r="K116" s="188" t="s">
        <v>57</v>
      </c>
      <c r="L116" s="185"/>
      <c r="M116" s="185"/>
      <c r="AB116" s="5"/>
      <c r="AC116" s="5"/>
    </row>
    <row r="117" spans="1:29" ht="13.8" thickBot="1" x14ac:dyDescent="0.3">
      <c r="B117" s="185"/>
      <c r="C117" s="182" t="s">
        <v>286</v>
      </c>
      <c r="D117" s="185"/>
      <c r="E117" s="185"/>
      <c r="F117" s="74"/>
      <c r="G117" s="185"/>
      <c r="H117" s="74"/>
      <c r="I117" s="185"/>
      <c r="J117" s="185">
        <f t="shared" si="10"/>
        <v>0</v>
      </c>
      <c r="K117" s="188" t="s">
        <v>57</v>
      </c>
      <c r="L117" s="185"/>
      <c r="M117" s="185"/>
    </row>
    <row r="118" spans="1:29" s="5" customFormat="1" x14ac:dyDescent="0.25">
      <c r="A118" s="548"/>
      <c r="B118" s="207"/>
      <c r="C118" s="207" t="s">
        <v>54</v>
      </c>
      <c r="D118" s="207"/>
      <c r="E118" s="207"/>
      <c r="F118" s="207"/>
      <c r="G118" s="207"/>
      <c r="H118" s="207"/>
      <c r="I118" s="207"/>
      <c r="J118" s="207">
        <f>SUM(J111:J117)</f>
        <v>77.400000000000006</v>
      </c>
      <c r="K118" s="208" t="s">
        <v>57</v>
      </c>
      <c r="L118" s="207"/>
      <c r="M118" s="207"/>
      <c r="AB118"/>
      <c r="AC118"/>
    </row>
    <row r="119" spans="1:29" x14ac:dyDescent="0.25">
      <c r="B119" s="185"/>
      <c r="C119" s="185"/>
      <c r="D119" s="185"/>
      <c r="E119" s="185"/>
      <c r="F119" s="185"/>
      <c r="G119" s="185"/>
      <c r="H119" s="185"/>
      <c r="I119" s="185"/>
      <c r="J119" s="185"/>
      <c r="K119" s="185"/>
      <c r="L119" s="185"/>
      <c r="M119" s="185"/>
    </row>
    <row r="121" spans="1:29" ht="15.6" x14ac:dyDescent="0.3">
      <c r="B121" s="88" t="s">
        <v>287</v>
      </c>
      <c r="C121" s="79"/>
      <c r="D121" s="79"/>
      <c r="E121" s="79"/>
      <c r="F121" s="79"/>
      <c r="G121" s="79"/>
      <c r="H121" s="79"/>
      <c r="I121" s="79"/>
      <c r="J121" s="79"/>
      <c r="K121" s="79"/>
      <c r="L121" s="79"/>
      <c r="M121" s="79"/>
    </row>
    <row r="122" spans="1:29" ht="15.6" x14ac:dyDescent="0.3">
      <c r="B122" s="88"/>
      <c r="C122" s="79"/>
      <c r="D122" s="79"/>
      <c r="E122" s="79"/>
      <c r="F122" s="79"/>
      <c r="G122" s="79"/>
      <c r="H122" s="79"/>
      <c r="I122" s="79"/>
      <c r="J122" s="79"/>
      <c r="K122" s="79"/>
      <c r="L122" s="79"/>
      <c r="M122" s="79"/>
      <c r="AB122" s="5"/>
      <c r="AC122" s="5"/>
    </row>
    <row r="123" spans="1:29" ht="15" customHeight="1" x14ac:dyDescent="0.25">
      <c r="B123" s="1096" t="s">
        <v>699</v>
      </c>
      <c r="C123" s="1096"/>
      <c r="D123" s="1096"/>
      <c r="E123" s="1096"/>
      <c r="F123" s="1096"/>
      <c r="G123" s="1096"/>
      <c r="H123" s="1096"/>
      <c r="I123" s="1096"/>
      <c r="J123" s="1096"/>
      <c r="K123" s="1096"/>
      <c r="L123" s="1096"/>
      <c r="M123" s="1096"/>
    </row>
    <row r="124" spans="1:29" s="5" customFormat="1" ht="15.6" x14ac:dyDescent="0.3">
      <c r="A124" s="548"/>
      <c r="B124" s="88"/>
      <c r="C124" s="79"/>
      <c r="D124" s="79"/>
      <c r="E124" s="83"/>
      <c r="F124" s="83"/>
      <c r="G124" s="83"/>
      <c r="H124" s="84"/>
      <c r="I124" s="84"/>
      <c r="J124" s="83"/>
      <c r="K124" s="83"/>
      <c r="L124" s="84"/>
      <c r="M124" s="84"/>
      <c r="N124"/>
      <c r="O124"/>
      <c r="P124"/>
      <c r="Q124"/>
      <c r="R124"/>
      <c r="S124"/>
      <c r="T124"/>
      <c r="U124"/>
      <c r="AB124"/>
      <c r="AC124"/>
    </row>
    <row r="125" spans="1:29" ht="15.6" x14ac:dyDescent="0.3">
      <c r="B125" s="88"/>
      <c r="C125" s="79"/>
      <c r="D125" s="79"/>
      <c r="E125" s="1069" t="s">
        <v>290</v>
      </c>
      <c r="F125" s="1069"/>
      <c r="G125" s="1069"/>
      <c r="H125" s="1070" t="s">
        <v>113</v>
      </c>
      <c r="I125" s="1070"/>
      <c r="J125" s="1069" t="s">
        <v>291</v>
      </c>
      <c r="K125" s="1069"/>
      <c r="L125" s="1070" t="s">
        <v>113</v>
      </c>
      <c r="M125" s="1070"/>
    </row>
    <row r="126" spans="1:29" ht="33" customHeight="1" thickBot="1" x14ac:dyDescent="0.3">
      <c r="B126" s="78"/>
      <c r="C126" s="79"/>
      <c r="D126" s="79"/>
      <c r="E126" s="79"/>
      <c r="F126" s="79"/>
      <c r="G126" s="79"/>
      <c r="H126" s="79"/>
      <c r="I126" s="79"/>
      <c r="J126" s="79"/>
      <c r="K126" s="79"/>
      <c r="L126" s="79"/>
      <c r="M126" s="79"/>
      <c r="N126" s="5"/>
      <c r="O126" s="5"/>
      <c r="P126" s="5"/>
      <c r="Q126" s="5"/>
      <c r="R126" s="5"/>
      <c r="S126" s="5"/>
      <c r="T126" s="5"/>
      <c r="U126" s="5"/>
    </row>
    <row r="127" spans="1:29" ht="13.8" thickBot="1" x14ac:dyDescent="0.3">
      <c r="B127" s="79"/>
      <c r="C127" s="80" t="s">
        <v>292</v>
      </c>
      <c r="D127" s="79"/>
      <c r="E127" s="79"/>
      <c r="F127" s="91">
        <v>2</v>
      </c>
      <c r="G127" s="82" t="s">
        <v>293</v>
      </c>
      <c r="H127" s="93">
        <v>14.5</v>
      </c>
      <c r="I127" s="82" t="s">
        <v>294</v>
      </c>
      <c r="J127" s="92"/>
      <c r="K127" s="82" t="s">
        <v>293</v>
      </c>
      <c r="L127" s="93">
        <v>14.5</v>
      </c>
      <c r="M127" s="82" t="s">
        <v>294</v>
      </c>
    </row>
    <row r="128" spans="1:29" ht="13.8" thickBot="1" x14ac:dyDescent="0.3">
      <c r="B128" s="79"/>
      <c r="C128" s="80" t="s">
        <v>831</v>
      </c>
      <c r="D128" s="79"/>
      <c r="E128" s="79"/>
      <c r="F128" s="91">
        <v>3</v>
      </c>
      <c r="G128" s="82" t="s">
        <v>293</v>
      </c>
      <c r="H128" s="90">
        <f t="shared" ref="H128:H133" si="11">$H$127</f>
        <v>14.5</v>
      </c>
      <c r="I128" s="82" t="s">
        <v>294</v>
      </c>
      <c r="J128" s="92"/>
      <c r="K128" s="82" t="s">
        <v>293</v>
      </c>
      <c r="L128" s="90">
        <f t="shared" ref="L128:L133" si="12">$L$127</f>
        <v>14.5</v>
      </c>
      <c r="M128" s="82" t="s">
        <v>294</v>
      </c>
    </row>
    <row r="129" spans="2:21" ht="13.8" thickBot="1" x14ac:dyDescent="0.3">
      <c r="B129" s="79"/>
      <c r="C129" s="80" t="s">
        <v>381</v>
      </c>
      <c r="D129" s="79"/>
      <c r="E129" s="79"/>
      <c r="F129" s="91">
        <v>2</v>
      </c>
      <c r="G129" s="82" t="s">
        <v>293</v>
      </c>
      <c r="H129" s="90">
        <f t="shared" si="11"/>
        <v>14.5</v>
      </c>
      <c r="I129" s="82" t="s">
        <v>294</v>
      </c>
      <c r="J129" s="92"/>
      <c r="K129" s="82" t="s">
        <v>293</v>
      </c>
      <c r="L129" s="90">
        <f t="shared" si="12"/>
        <v>14.5</v>
      </c>
      <c r="M129" s="82" t="s">
        <v>294</v>
      </c>
    </row>
    <row r="130" spans="2:21" ht="13.8" thickBot="1" x14ac:dyDescent="0.3">
      <c r="B130" s="79"/>
      <c r="C130" s="80" t="s">
        <v>832</v>
      </c>
      <c r="D130" s="79"/>
      <c r="E130" s="79"/>
      <c r="F130" s="91">
        <v>2</v>
      </c>
      <c r="G130" s="82" t="s">
        <v>293</v>
      </c>
      <c r="H130" s="90">
        <f t="shared" si="11"/>
        <v>14.5</v>
      </c>
      <c r="I130" s="82" t="s">
        <v>294</v>
      </c>
      <c r="J130" s="92"/>
      <c r="K130" s="82" t="s">
        <v>293</v>
      </c>
      <c r="L130" s="90">
        <f t="shared" si="12"/>
        <v>14.5</v>
      </c>
      <c r="M130" s="82" t="s">
        <v>294</v>
      </c>
    </row>
    <row r="131" spans="2:21" ht="13.8" thickBot="1" x14ac:dyDescent="0.3">
      <c r="B131" s="79"/>
      <c r="C131" s="80" t="s">
        <v>431</v>
      </c>
      <c r="D131" s="79"/>
      <c r="E131" s="79"/>
      <c r="F131" s="92"/>
      <c r="G131" s="82" t="s">
        <v>293</v>
      </c>
      <c r="H131" s="90">
        <f t="shared" si="11"/>
        <v>14.5</v>
      </c>
      <c r="I131" s="82" t="s">
        <v>294</v>
      </c>
      <c r="J131" s="75"/>
      <c r="K131" s="82" t="s">
        <v>293</v>
      </c>
      <c r="L131" s="90">
        <f t="shared" si="12"/>
        <v>14.5</v>
      </c>
      <c r="M131" s="82" t="s">
        <v>294</v>
      </c>
    </row>
    <row r="132" spans="2:21" ht="13.8" thickBot="1" x14ac:dyDescent="0.3">
      <c r="B132" s="79"/>
      <c r="C132" s="80" t="s">
        <v>431</v>
      </c>
      <c r="D132" s="79"/>
      <c r="E132" s="79"/>
      <c r="F132" s="92"/>
      <c r="G132" s="82" t="s">
        <v>293</v>
      </c>
      <c r="H132" s="90">
        <f t="shared" si="11"/>
        <v>14.5</v>
      </c>
      <c r="I132" s="82" t="s">
        <v>294</v>
      </c>
      <c r="J132" s="75"/>
      <c r="K132" s="82" t="s">
        <v>293</v>
      </c>
      <c r="L132" s="90">
        <f t="shared" si="12"/>
        <v>14.5</v>
      </c>
      <c r="M132" s="82" t="s">
        <v>294</v>
      </c>
    </row>
    <row r="133" spans="2:21" ht="13.8" thickBot="1" x14ac:dyDescent="0.3">
      <c r="B133" s="79"/>
      <c r="C133" s="80" t="s">
        <v>431</v>
      </c>
      <c r="D133" s="81"/>
      <c r="E133" s="81"/>
      <c r="F133" s="75"/>
      <c r="G133" s="82" t="s">
        <v>293</v>
      </c>
      <c r="H133" s="90">
        <f t="shared" si="11"/>
        <v>14.5</v>
      </c>
      <c r="I133" s="82" t="s">
        <v>294</v>
      </c>
      <c r="J133" s="75"/>
      <c r="K133" s="82" t="s">
        <v>293</v>
      </c>
      <c r="L133" s="90">
        <f t="shared" si="12"/>
        <v>14.5</v>
      </c>
      <c r="M133" s="82" t="s">
        <v>294</v>
      </c>
    </row>
    <row r="134" spans="2:21" x14ac:dyDescent="0.25">
      <c r="B134" s="209"/>
      <c r="C134" s="210" t="s">
        <v>54</v>
      </c>
      <c r="D134" s="211"/>
      <c r="E134" s="211"/>
      <c r="F134" s="212">
        <f>SUM(F127:F133)</f>
        <v>9</v>
      </c>
      <c r="G134" s="209" t="s">
        <v>293</v>
      </c>
      <c r="H134" s="213">
        <f>F134*H127</f>
        <v>130.5</v>
      </c>
      <c r="I134" s="209" t="s">
        <v>57</v>
      </c>
      <c r="J134" s="212">
        <f>SUM(J127:J133)</f>
        <v>0</v>
      </c>
      <c r="K134" s="209" t="s">
        <v>293</v>
      </c>
      <c r="L134" s="213">
        <f>J134*L127</f>
        <v>0</v>
      </c>
      <c r="M134" s="209" t="s">
        <v>57</v>
      </c>
    </row>
    <row r="136" spans="2:21" ht="40.200000000000003" customHeight="1" x14ac:dyDescent="0.25">
      <c r="N136" s="5"/>
      <c r="O136" s="5"/>
      <c r="P136" s="5"/>
      <c r="Q136" s="5"/>
      <c r="R136" s="5"/>
      <c r="S136" s="5"/>
      <c r="T136" s="5"/>
      <c r="U136" s="5"/>
    </row>
    <row r="139" spans="2:21" ht="37.950000000000003" customHeight="1" x14ac:dyDescent="0.25"/>
    <row r="149" spans="1:29" x14ac:dyDescent="0.25">
      <c r="AB149" s="5"/>
      <c r="AC149" s="5"/>
    </row>
    <row r="151" spans="1:29" s="5" customFormat="1" x14ac:dyDescent="0.25">
      <c r="A151" s="548"/>
      <c r="B151"/>
      <c r="C151"/>
      <c r="D151"/>
      <c r="E151"/>
      <c r="F151"/>
      <c r="G151"/>
      <c r="H151"/>
      <c r="I151"/>
      <c r="J151"/>
      <c r="K151"/>
      <c r="L151"/>
      <c r="M151"/>
      <c r="N151"/>
      <c r="O151"/>
      <c r="P151"/>
      <c r="Q151"/>
      <c r="R151"/>
      <c r="S151"/>
      <c r="T151"/>
      <c r="U151"/>
      <c r="AB151"/>
      <c r="AC151"/>
    </row>
    <row r="153" spans="1:29" x14ac:dyDescent="0.25">
      <c r="N153" s="5"/>
      <c r="O153" s="5"/>
      <c r="P153" s="5"/>
      <c r="Q153" s="5"/>
      <c r="R153" s="5"/>
      <c r="S153" s="5"/>
      <c r="T153" s="5"/>
      <c r="U153" s="5"/>
    </row>
  </sheetData>
  <mergeCells count="37">
    <mergeCell ref="B2:C2"/>
    <mergeCell ref="B4:L4"/>
    <mergeCell ref="B11:D11"/>
    <mergeCell ref="B55:D55"/>
    <mergeCell ref="B24:E24"/>
    <mergeCell ref="B25:E25"/>
    <mergeCell ref="B26:D26"/>
    <mergeCell ref="B29:C29"/>
    <mergeCell ref="C32:D32"/>
    <mergeCell ref="B36:D36"/>
    <mergeCell ref="C39:D39"/>
    <mergeCell ref="B43:D43"/>
    <mergeCell ref="C46:D46"/>
    <mergeCell ref="B50:C50"/>
    <mergeCell ref="C53:D53"/>
    <mergeCell ref="B60:D60"/>
    <mergeCell ref="B64:D64"/>
    <mergeCell ref="B67:E67"/>
    <mergeCell ref="L67:M67"/>
    <mergeCell ref="F69:G69"/>
    <mergeCell ref="H69:I69"/>
    <mergeCell ref="J69:K69"/>
    <mergeCell ref="B62:D62"/>
    <mergeCell ref="F75:G75"/>
    <mergeCell ref="H75:I75"/>
    <mergeCell ref="J75:K75"/>
    <mergeCell ref="F82:G82"/>
    <mergeCell ref="H82:I82"/>
    <mergeCell ref="J82:K82"/>
    <mergeCell ref="F100:G100"/>
    <mergeCell ref="H100:I100"/>
    <mergeCell ref="J100:K100"/>
    <mergeCell ref="B123:M123"/>
    <mergeCell ref="E125:G125"/>
    <mergeCell ref="H125:I125"/>
    <mergeCell ref="J125:K125"/>
    <mergeCell ref="L125:M125"/>
  </mergeCells>
  <hyperlinks>
    <hyperlink ref="B2" location="Tilakokonaisuus!A1" display="PALAA ETUSIVULLE" xr:uid="{C6FE67DC-C752-0347-8255-D547730797FA}"/>
    <hyperlink ref="B2:C2" location="'Gårdens info'!A1" display="TILL FRAMSIDAN" xr:uid="{2D8587D3-2132-F14F-B635-37C50D8AA88C}"/>
    <hyperlink ref="B24:E24" location="'Gårdens info'!C97" display="ALLMÄNNA KOSTNADER, vetets andel" xr:uid="{F37B2FC2-976E-944C-B6F0-38FFEEE27910}"/>
    <hyperlink ref="B29:C29" location="Omaisuus!B15" display="RAKENNUKSET" xr:uid="{B4219138-9DA6-D241-AD91-3032DF563FDE}"/>
    <hyperlink ref="B36:D36" location="Omaisuus!B28" display="KONEET JA KALUSTO" xr:uid="{BB9438F5-56ED-BC4F-908E-3572E769A160}"/>
    <hyperlink ref="B43:D43" location="Omaisuus!B51" display="PIDEMPIAIKAISET TUOTANTOVÄLINEET" xr:uid="{3DA34881-9815-3A41-9D21-0E8B738DFB2F}"/>
    <hyperlink ref="B50:C50" location="Omaisuus!B70" display="SALAOJAT" xr:uid="{13E29555-7027-314B-B7D6-BDD7B156EFD4}"/>
    <hyperlink ref="L67" location="'Avomaan mansikka'!B2" display="PALAA SIVUN YLÄLAITAAN" xr:uid="{EF1CF081-AB12-C149-9479-6C4D5DADF109}"/>
    <hyperlink ref="L67:M67" location="Vete!A1" display="TILL SIDANS BÖRJAN" xr:uid="{B815D287-28F6-B741-8410-44D3C9CF261D}"/>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AB21-3743-A643-BF4D-CBF4A4C9BF02}">
  <sheetPr>
    <tabColor theme="0" tint="-4.9989318521683403E-2"/>
  </sheetPr>
  <dimension ref="A1:AC153"/>
  <sheetViews>
    <sheetView topLeftCell="A5" zoomScale="74" zoomScaleNormal="80" workbookViewId="0">
      <selection activeCell="B26" sqref="B26:D26"/>
    </sheetView>
  </sheetViews>
  <sheetFormatPr defaultColWidth="11.44140625" defaultRowHeight="13.2" x14ac:dyDescent="0.25"/>
  <cols>
    <col min="1" max="1" width="5.33203125" style="583"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583" customFormat="1" ht="22.8" x14ac:dyDescent="0.4">
      <c r="B1" s="590" t="s">
        <v>51</v>
      </c>
    </row>
    <row r="2" spans="1:13" ht="27" customHeight="1" x14ac:dyDescent="0.3">
      <c r="B2" s="1094" t="s">
        <v>201</v>
      </c>
      <c r="C2" s="1094"/>
      <c r="F2" s="69"/>
      <c r="G2" s="69"/>
      <c r="H2" s="69"/>
    </row>
    <row r="3" spans="1:13" ht="27" customHeight="1" x14ac:dyDescent="0.3">
      <c r="B3" s="189"/>
      <c r="C3" s="189"/>
    </row>
    <row r="4" spans="1:13" ht="69"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845</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info'!G40</f>
        <v>0</v>
      </c>
      <c r="G9" s="119" t="s">
        <v>57</v>
      </c>
      <c r="H9" s="298">
        <f>0.24</f>
        <v>0.24</v>
      </c>
      <c r="I9" s="119" t="s">
        <v>206</v>
      </c>
      <c r="J9" s="229">
        <f>F9*'Gårdens info'!D40</f>
        <v>0</v>
      </c>
      <c r="K9" s="119" t="s">
        <v>846</v>
      </c>
      <c r="L9" s="119"/>
      <c r="M9" s="226"/>
    </row>
    <row r="10" spans="1:13" ht="15" x14ac:dyDescent="0.25">
      <c r="B10" s="227"/>
      <c r="C10" s="119" t="s">
        <v>211</v>
      </c>
      <c r="D10" s="119"/>
      <c r="E10" s="119"/>
      <c r="F10" s="229">
        <f>IF('Gårdens info'!D40&gt;0,Stöd!L14,0)</f>
        <v>0</v>
      </c>
      <c r="G10" s="119" t="s">
        <v>57</v>
      </c>
      <c r="H10" s="298">
        <f>IF('Gårdens info'!G40&gt;0,F10/'Gårdens info'!G40,0)</f>
        <v>0</v>
      </c>
      <c r="I10" s="119" t="s">
        <v>206</v>
      </c>
      <c r="J10" s="229">
        <f>F10*'Gårdens info'!D40</f>
        <v>0</v>
      </c>
      <c r="K10" s="119" t="s">
        <v>846</v>
      </c>
      <c r="L10" s="119"/>
      <c r="M10" s="226"/>
    </row>
    <row r="11" spans="1:13" s="5" customFormat="1" ht="21" customHeight="1" x14ac:dyDescent="0.4">
      <c r="A11" s="584"/>
      <c r="B11" s="1061" t="s">
        <v>214</v>
      </c>
      <c r="C11" s="1043"/>
      <c r="D11" s="1043"/>
      <c r="E11" s="262"/>
      <c r="F11" s="266">
        <f>F9+F10</f>
        <v>0</v>
      </c>
      <c r="G11" s="267" t="s">
        <v>57</v>
      </c>
      <c r="H11" s="268">
        <f>H9+H10</f>
        <v>0.24</v>
      </c>
      <c r="I11" s="267" t="s">
        <v>206</v>
      </c>
      <c r="J11" s="269">
        <f>J9+J10</f>
        <v>0</v>
      </c>
      <c r="K11" s="267" t="s">
        <v>846</v>
      </c>
      <c r="L11" s="267"/>
      <c r="M11" s="259"/>
    </row>
    <row r="12" spans="1:13" s="5" customFormat="1" ht="21" x14ac:dyDescent="0.4">
      <c r="A12" s="584"/>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816</v>
      </c>
      <c r="C14" s="225"/>
      <c r="D14" s="116"/>
      <c r="E14" s="116"/>
      <c r="F14" s="116"/>
      <c r="G14" s="116"/>
      <c r="H14" s="116"/>
      <c r="I14" s="116"/>
      <c r="J14" s="232"/>
      <c r="K14" s="116"/>
      <c r="L14" s="116"/>
      <c r="M14" s="226"/>
    </row>
    <row r="15" spans="1:13" s="56" customFormat="1" ht="16.95" customHeight="1" x14ac:dyDescent="0.3">
      <c r="A15" s="583"/>
      <c r="B15" s="493"/>
      <c r="C15" s="245"/>
      <c r="D15" s="249"/>
      <c r="E15" s="249"/>
      <c r="F15" s="250"/>
      <c r="G15" s="120"/>
      <c r="H15" s="249"/>
      <c r="I15" s="249"/>
      <c r="J15" s="249"/>
      <c r="K15" s="249"/>
      <c r="L15" s="249"/>
      <c r="M15" s="234"/>
    </row>
    <row r="16" spans="1:13" s="69" customFormat="1" ht="16.95" customHeight="1" x14ac:dyDescent="0.25">
      <c r="A16" s="583"/>
      <c r="B16" s="493"/>
      <c r="C16" s="228" t="s">
        <v>218</v>
      </c>
      <c r="D16" s="236"/>
      <c r="E16" s="236"/>
      <c r="F16" s="247">
        <f>IF('Gårdens info'!D40&gt;0,J71,0)</f>
        <v>0</v>
      </c>
      <c r="G16" s="119" t="s">
        <v>57</v>
      </c>
      <c r="H16" s="238">
        <f>IF('Gårdens info'!$G$40&gt;0,F16/'Gårdens info'!$G$40,0)</f>
        <v>0</v>
      </c>
      <c r="I16" s="119" t="s">
        <v>206</v>
      </c>
      <c r="J16" s="237">
        <f>F16*'Gårdens info'!$D$40</f>
        <v>0</v>
      </c>
      <c r="K16" s="119" t="s">
        <v>846</v>
      </c>
      <c r="L16" s="236"/>
      <c r="M16" s="239"/>
    </row>
    <row r="17" spans="1:29" s="69" customFormat="1" ht="15" x14ac:dyDescent="0.25">
      <c r="A17" s="585"/>
      <c r="B17" s="235"/>
      <c r="C17" s="228" t="s">
        <v>219</v>
      </c>
      <c r="D17" s="236"/>
      <c r="E17" s="236"/>
      <c r="F17" s="237">
        <f>IF('Gårdens info'!D40&gt;0,J79,0)</f>
        <v>0</v>
      </c>
      <c r="G17" s="119" t="s">
        <v>57</v>
      </c>
      <c r="H17" s="238">
        <f>IF('Gårdens info'!$G$40&gt;0,F17/'Gårdens info'!$G$40,0)</f>
        <v>0</v>
      </c>
      <c r="I17" s="119" t="s">
        <v>206</v>
      </c>
      <c r="J17" s="237">
        <f>F17*'Gårdens info'!$D$40</f>
        <v>0</v>
      </c>
      <c r="K17" s="119" t="s">
        <v>846</v>
      </c>
      <c r="L17" s="236"/>
      <c r="M17" s="239"/>
    </row>
    <row r="18" spans="1:29" s="69" customFormat="1" ht="15" x14ac:dyDescent="0.25">
      <c r="A18" s="585"/>
      <c r="B18" s="235"/>
      <c r="C18" s="228" t="s">
        <v>220</v>
      </c>
      <c r="D18" s="236"/>
      <c r="E18" s="236"/>
      <c r="F18" s="237">
        <f>IF('Gårdens info'!D40&gt;0,J97,0)</f>
        <v>0</v>
      </c>
      <c r="G18" s="119" t="s">
        <v>57</v>
      </c>
      <c r="H18" s="238">
        <f>IF('Gårdens info'!$G$40&gt;0,F18/'Gårdens info'!$G$40,0)</f>
        <v>0</v>
      </c>
      <c r="I18" s="119" t="s">
        <v>206</v>
      </c>
      <c r="J18" s="237">
        <f>F18*'Gårdens info'!$D$40</f>
        <v>0</v>
      </c>
      <c r="K18" s="119" t="s">
        <v>846</v>
      </c>
      <c r="L18" s="236"/>
      <c r="M18" s="239"/>
    </row>
    <row r="19" spans="1:29" s="69" customFormat="1" ht="15" x14ac:dyDescent="0.25">
      <c r="A19" s="585"/>
      <c r="B19" s="235"/>
      <c r="C19" s="228" t="s">
        <v>568</v>
      </c>
      <c r="D19" s="236"/>
      <c r="E19" s="236"/>
      <c r="F19" s="237">
        <f>IF('Gårdens info'!D40&gt;0,J106,0)</f>
        <v>0</v>
      </c>
      <c r="G19" s="119" t="s">
        <v>57</v>
      </c>
      <c r="H19" s="238">
        <f>IF('Gårdens info'!$G$40&gt;0,F19/'Gårdens info'!$G$40,0)</f>
        <v>0</v>
      </c>
      <c r="I19" s="119" t="s">
        <v>206</v>
      </c>
      <c r="J19" s="237">
        <f>F19*'Gårdens info'!$D$40</f>
        <v>0</v>
      </c>
      <c r="K19" s="119" t="s">
        <v>846</v>
      </c>
      <c r="L19" s="236"/>
      <c r="M19" s="239"/>
    </row>
    <row r="20" spans="1:29" s="69" customFormat="1" ht="15" x14ac:dyDescent="0.25">
      <c r="A20" s="585"/>
      <c r="B20" s="235"/>
      <c r="C20" s="228" t="s">
        <v>224</v>
      </c>
      <c r="D20" s="236"/>
      <c r="E20" s="236"/>
      <c r="F20" s="237">
        <f>IF('Gårdens info'!D40&gt;0,J118,0)</f>
        <v>0</v>
      </c>
      <c r="G20" s="119" t="s">
        <v>57</v>
      </c>
      <c r="H20" s="238">
        <f>IF('Gårdens info'!$G$40&gt;0,F20/'Gårdens info'!$G$40,0)</f>
        <v>0</v>
      </c>
      <c r="I20" s="119" t="s">
        <v>206</v>
      </c>
      <c r="J20" s="237">
        <f>F20*'Gårdens info'!$D$40</f>
        <v>0</v>
      </c>
      <c r="K20" s="119" t="s">
        <v>846</v>
      </c>
      <c r="L20" s="236"/>
      <c r="M20" s="239"/>
    </row>
    <row r="21" spans="1:29" s="69" customFormat="1" ht="15" x14ac:dyDescent="0.25">
      <c r="A21" s="585"/>
      <c r="B21" s="235"/>
      <c r="C21" s="228" t="s">
        <v>817</v>
      </c>
      <c r="D21" s="236"/>
      <c r="E21" s="236"/>
      <c r="F21" s="237">
        <f>IF('Gårdens info'!D40&gt;0,L134,0)</f>
        <v>0</v>
      </c>
      <c r="G21" s="119" t="s">
        <v>57</v>
      </c>
      <c r="H21" s="238">
        <f>IF('Gårdens info'!$G$40&gt;0,F21/'Gårdens info'!$G$40,0)</f>
        <v>0</v>
      </c>
      <c r="I21" s="119" t="s">
        <v>206</v>
      </c>
      <c r="J21" s="237">
        <f>F21*'Gårdens info'!$D$40</f>
        <v>0</v>
      </c>
      <c r="K21" s="119" t="s">
        <v>846</v>
      </c>
      <c r="L21" s="236"/>
      <c r="M21" s="239"/>
    </row>
    <row r="22" spans="1:29" ht="15.6" x14ac:dyDescent="0.3">
      <c r="B22" s="251"/>
      <c r="C22" s="240" t="s">
        <v>54</v>
      </c>
      <c r="D22" s="241"/>
      <c r="E22" s="241"/>
      <c r="F22" s="242">
        <f>SUM(F16:F21)</f>
        <v>0</v>
      </c>
      <c r="G22" s="243" t="s">
        <v>57</v>
      </c>
      <c r="H22" s="244">
        <f>SUM(H16:H21)</f>
        <v>0</v>
      </c>
      <c r="I22" s="243" t="s">
        <v>206</v>
      </c>
      <c r="J22" s="242">
        <f>SUM(J16:J21)</f>
        <v>0</v>
      </c>
      <c r="K22" s="243" t="s">
        <v>846</v>
      </c>
      <c r="L22" s="241"/>
      <c r="M22" s="252"/>
      <c r="N22" s="69"/>
      <c r="O22" s="69"/>
      <c r="P22" s="69"/>
      <c r="Q22" s="69"/>
      <c r="R22" s="69"/>
      <c r="S22" s="69"/>
      <c r="T22" s="69"/>
      <c r="U22" s="69"/>
    </row>
    <row r="23" spans="1:29" s="56" customFormat="1" ht="17.399999999999999" x14ac:dyDescent="0.3">
      <c r="A23" s="586"/>
      <c r="B23" s="231"/>
      <c r="C23" s="245"/>
      <c r="D23" s="246"/>
      <c r="E23" s="246"/>
      <c r="F23" s="247"/>
      <c r="G23" s="119"/>
      <c r="H23" s="246"/>
      <c r="I23" s="246"/>
      <c r="J23" s="246"/>
      <c r="K23" s="246"/>
      <c r="L23" s="246"/>
      <c r="M23" s="226"/>
      <c r="N23" s="69"/>
      <c r="O23" s="69"/>
      <c r="P23" s="69"/>
      <c r="R23" s="69"/>
      <c r="S23" s="69"/>
      <c r="T23" s="69"/>
      <c r="U23" s="69"/>
      <c r="AB23" s="382" t="s">
        <v>218</v>
      </c>
      <c r="AC23" s="561">
        <f>F16</f>
        <v>0</v>
      </c>
    </row>
    <row r="24" spans="1:29" s="69" customFormat="1" ht="17.399999999999999" x14ac:dyDescent="0.3">
      <c r="A24" s="585"/>
      <c r="B24" s="1081" t="s">
        <v>847</v>
      </c>
      <c r="C24" s="1082"/>
      <c r="D24" s="1082"/>
      <c r="E24" s="1082"/>
      <c r="F24" s="263">
        <f>IF('Gårdens info'!D40&gt;0,J24/'Gårdens info'!D40,0)</f>
        <v>0</v>
      </c>
      <c r="G24" s="243" t="s">
        <v>57</v>
      </c>
      <c r="H24" s="264">
        <f>IF('Gårdens info'!G40&gt;0,F24/'Gårdens info'!G40,0)</f>
        <v>0</v>
      </c>
      <c r="I24" s="243" t="s">
        <v>206</v>
      </c>
      <c r="J24" s="258">
        <f>'Gårdens info'!G163/'Gårdens info'!D43*'Gårdens info'!D40</f>
        <v>0</v>
      </c>
      <c r="K24" s="243" t="s">
        <v>846</v>
      </c>
      <c r="L24" s="265"/>
      <c r="M24" s="259"/>
      <c r="N24"/>
      <c r="O24"/>
      <c r="P24"/>
      <c r="S24"/>
      <c r="T24"/>
      <c r="U24"/>
      <c r="AB24" s="382" t="s">
        <v>219</v>
      </c>
      <c r="AC24" s="561">
        <f t="shared" ref="AC24:AC28" si="0">F17</f>
        <v>0</v>
      </c>
    </row>
    <row r="25" spans="1:29" s="69" customFormat="1" ht="17.399999999999999" x14ac:dyDescent="0.3">
      <c r="A25" s="585"/>
      <c r="B25" s="1091" t="s">
        <v>848</v>
      </c>
      <c r="C25" s="1092"/>
      <c r="D25" s="1092"/>
      <c r="E25" s="1092"/>
      <c r="F25" s="263">
        <f>IF('Gårdens info'!D40&gt;0,J25/'Gårdens info'!D40,0)</f>
        <v>0</v>
      </c>
      <c r="G25" s="243" t="s">
        <v>57</v>
      </c>
      <c r="H25" s="264">
        <f>IF('Gårdens info'!G40&gt;0,F25/'Gårdens info'!G40,0)</f>
        <v>0</v>
      </c>
      <c r="I25" s="243" t="s">
        <v>206</v>
      </c>
      <c r="J25" s="258">
        <f>'Gårdens info'!$D$48/'Gårdens info'!$D$49*'Gårdens info'!$G$48*'Gårdens info'!D40</f>
        <v>0</v>
      </c>
      <c r="K25" s="243" t="s">
        <v>846</v>
      </c>
      <c r="L25" s="265"/>
      <c r="M25" s="259"/>
      <c r="N25" s="56"/>
      <c r="O25" s="56"/>
      <c r="P25" s="56"/>
      <c r="S25" s="56"/>
      <c r="T25" s="56"/>
      <c r="U25" s="56"/>
      <c r="AB25" s="382" t="s">
        <v>220</v>
      </c>
      <c r="AC25" s="561">
        <f t="shared" si="0"/>
        <v>0</v>
      </c>
    </row>
    <row r="26" spans="1:29" s="69" customFormat="1" ht="21" customHeight="1" x14ac:dyDescent="0.4">
      <c r="A26" s="585"/>
      <c r="B26" s="1061" t="s">
        <v>189</v>
      </c>
      <c r="C26" s="1043"/>
      <c r="D26" s="1043"/>
      <c r="E26" s="262"/>
      <c r="F26" s="266">
        <f>F22+F24+F25</f>
        <v>0</v>
      </c>
      <c r="G26" s="267" t="s">
        <v>57</v>
      </c>
      <c r="H26" s="268">
        <f>H22+H24+H25</f>
        <v>0</v>
      </c>
      <c r="I26" s="267" t="s">
        <v>206</v>
      </c>
      <c r="J26" s="269">
        <f>J22+J24+J25</f>
        <v>0</v>
      </c>
      <c r="K26" s="267" t="s">
        <v>846</v>
      </c>
      <c r="L26" s="267"/>
      <c r="M26" s="259"/>
      <c r="AB26" s="382" t="s">
        <v>849</v>
      </c>
      <c r="AC26" s="561">
        <f t="shared" si="0"/>
        <v>0</v>
      </c>
    </row>
    <row r="27" spans="1:29" s="69" customFormat="1" ht="21" x14ac:dyDescent="0.4">
      <c r="A27" s="585"/>
      <c r="B27" s="288"/>
      <c r="C27" s="270"/>
      <c r="D27" s="270"/>
      <c r="E27" s="262"/>
      <c r="F27" s="266"/>
      <c r="G27" s="267"/>
      <c r="H27" s="268"/>
      <c r="I27" s="267"/>
      <c r="J27" s="269"/>
      <c r="K27" s="267"/>
      <c r="L27" s="267"/>
      <c r="M27" s="259"/>
      <c r="AB27" s="382" t="s">
        <v>224</v>
      </c>
      <c r="AC27" s="561">
        <f t="shared" si="0"/>
        <v>0</v>
      </c>
    </row>
    <row r="28" spans="1:29" s="69" customFormat="1" ht="21" x14ac:dyDescent="0.4">
      <c r="A28" s="585"/>
      <c r="B28" s="257" t="s">
        <v>850</v>
      </c>
      <c r="C28" s="225"/>
      <c r="D28" s="116"/>
      <c r="E28" s="116"/>
      <c r="F28" s="116"/>
      <c r="G28" s="116"/>
      <c r="H28" s="116"/>
      <c r="I28" s="116"/>
      <c r="J28" s="232"/>
      <c r="K28" s="116"/>
      <c r="L28" s="116"/>
      <c r="M28" s="226"/>
      <c r="AB28" s="382" t="s">
        <v>851</v>
      </c>
      <c r="AC28" s="561">
        <f t="shared" si="0"/>
        <v>0</v>
      </c>
    </row>
    <row r="29" spans="1:29" s="69" customFormat="1" ht="21" x14ac:dyDescent="0.4">
      <c r="A29" s="585"/>
      <c r="B29" s="1081" t="s">
        <v>69</v>
      </c>
      <c r="C29" s="1082"/>
      <c r="D29" s="270"/>
      <c r="E29" s="262"/>
      <c r="F29" s="266"/>
      <c r="G29" s="267"/>
      <c r="H29" s="268"/>
      <c r="I29" s="267"/>
      <c r="J29" s="269"/>
      <c r="K29" s="267"/>
      <c r="L29" s="267"/>
      <c r="M29" s="259"/>
      <c r="AB29" s="384" t="s">
        <v>231</v>
      </c>
      <c r="AC29" s="384">
        <f>F24</f>
        <v>0</v>
      </c>
    </row>
    <row r="30" spans="1:29" s="69" customFormat="1" ht="21" x14ac:dyDescent="0.4">
      <c r="A30" s="585"/>
      <c r="B30" s="287"/>
      <c r="C30" s="274" t="s">
        <v>229</v>
      </c>
      <c r="D30" s="270"/>
      <c r="E30" s="262"/>
      <c r="F30" s="276">
        <f>IF('Gårdens info'!$D$40&gt;0,J30/'Gårdens info'!$D$40,0)</f>
        <v>0</v>
      </c>
      <c r="G30" s="119" t="s">
        <v>57</v>
      </c>
      <c r="H30" s="277">
        <f>IF('Gårdens info'!$G$40&gt;0,F30/'Gårdens info'!$G$40,0)</f>
        <v>0</v>
      </c>
      <c r="I30" s="119" t="s">
        <v>206</v>
      </c>
      <c r="J30" s="237">
        <f>Egendom!BE25</f>
        <v>0</v>
      </c>
      <c r="K30" s="119" t="s">
        <v>846</v>
      </c>
      <c r="L30" s="267"/>
      <c r="M30" s="259"/>
      <c r="AB30" s="382" t="s">
        <v>852</v>
      </c>
      <c r="AC30" s="384">
        <f>F25</f>
        <v>0</v>
      </c>
    </row>
    <row r="31" spans="1:29" s="192" customFormat="1" ht="21" x14ac:dyDescent="0.4">
      <c r="A31" s="587"/>
      <c r="B31" s="287"/>
      <c r="C31" s="274" t="s">
        <v>230</v>
      </c>
      <c r="D31" s="270"/>
      <c r="E31" s="262"/>
      <c r="F31" s="276">
        <f>IF('Gårdens info'!$D$40&gt;0,J31/'Gårdens info'!$D$40,0)</f>
        <v>0</v>
      </c>
      <c r="G31" s="119" t="s">
        <v>57</v>
      </c>
      <c r="H31" s="277">
        <f>IF('Gårdens info'!$G$40&gt;0,F31/'Gårdens info'!$G$40,0)</f>
        <v>0</v>
      </c>
      <c r="I31" s="119" t="s">
        <v>206</v>
      </c>
      <c r="J31" s="237">
        <f>Egendom!CC25</f>
        <v>0</v>
      </c>
      <c r="K31" s="119" t="s">
        <v>846</v>
      </c>
      <c r="L31" s="267"/>
      <c r="M31" s="259"/>
      <c r="N31" s="69"/>
      <c r="O31" s="69"/>
      <c r="P31" s="69"/>
      <c r="S31" s="69"/>
      <c r="T31" s="69"/>
      <c r="U31" s="69"/>
      <c r="AB31" s="382" t="s">
        <v>235</v>
      </c>
      <c r="AC31" s="385">
        <f>F34</f>
        <v>0</v>
      </c>
    </row>
    <row r="32" spans="1:29" ht="17.399999999999999" customHeight="1" x14ac:dyDescent="0.3">
      <c r="B32" s="287"/>
      <c r="C32" s="1083" t="s">
        <v>232</v>
      </c>
      <c r="D32" s="1083"/>
      <c r="E32" s="262"/>
      <c r="F32" s="276">
        <f>IF('Gårdens info'!$D$40&gt;0,J32/'Gårdens info'!$D$40,0)</f>
        <v>0</v>
      </c>
      <c r="G32" s="119" t="s">
        <v>57</v>
      </c>
      <c r="H32" s="277">
        <f>IF('Gårdens info'!$G$40&gt;0,F32/'Gårdens info'!$G$40,0)</f>
        <v>0</v>
      </c>
      <c r="I32" s="119" t="s">
        <v>206</v>
      </c>
      <c r="J32" s="237">
        <f>Egendom!DA25</f>
        <v>0</v>
      </c>
      <c r="K32" s="119" t="s">
        <v>846</v>
      </c>
      <c r="L32" s="267"/>
      <c r="M32" s="259"/>
      <c r="N32" s="69"/>
      <c r="O32" s="69"/>
      <c r="P32" s="69"/>
      <c r="S32" s="69"/>
      <c r="T32" s="69"/>
      <c r="U32" s="69"/>
      <c r="AB32" s="382" t="s">
        <v>236</v>
      </c>
      <c r="AC32" s="386">
        <f>F41</f>
        <v>0</v>
      </c>
    </row>
    <row r="33" spans="1:29" ht="21" x14ac:dyDescent="0.4">
      <c r="B33" s="287"/>
      <c r="C33" s="274" t="s">
        <v>234</v>
      </c>
      <c r="D33" s="270"/>
      <c r="E33" s="262"/>
      <c r="F33" s="276">
        <f>IF('Gårdens info'!$D$40&gt;0,J33/'Gårdens info'!$D$40,0)</f>
        <v>0</v>
      </c>
      <c r="G33" s="119" t="s">
        <v>57</v>
      </c>
      <c r="H33" s="277">
        <f>IF('Gårdens info'!$G$40&gt;0,F33/'Gårdens info'!$G$40,0)</f>
        <v>0</v>
      </c>
      <c r="I33" s="119" t="s">
        <v>206</v>
      </c>
      <c r="J33" s="237">
        <f>Egendom!DY25</f>
        <v>0</v>
      </c>
      <c r="K33" s="119" t="s">
        <v>846</v>
      </c>
      <c r="L33" s="267"/>
      <c r="M33" s="259"/>
      <c r="N33" s="192"/>
      <c r="O33" s="192"/>
      <c r="P33" s="192"/>
      <c r="S33" s="192"/>
      <c r="T33" s="192"/>
      <c r="U33" s="192"/>
      <c r="AB33" s="382" t="s">
        <v>237</v>
      </c>
      <c r="AC33" s="386">
        <f>F48</f>
        <v>0</v>
      </c>
    </row>
    <row r="34" spans="1:29" ht="20.399999999999999" x14ac:dyDescent="0.35">
      <c r="B34" s="289"/>
      <c r="C34" s="278" t="s">
        <v>54</v>
      </c>
      <c r="D34" s="279"/>
      <c r="E34" s="262"/>
      <c r="F34" s="280">
        <f>SUM(F30:F33)</f>
        <v>0</v>
      </c>
      <c r="G34" s="119" t="s">
        <v>57</v>
      </c>
      <c r="H34" s="285">
        <f t="shared" ref="H34:J34" si="1">SUM(H30:H33)</f>
        <v>0</v>
      </c>
      <c r="I34" s="119" t="s">
        <v>206</v>
      </c>
      <c r="J34" s="280">
        <f t="shared" si="1"/>
        <v>0</v>
      </c>
      <c r="K34" s="119" t="s">
        <v>846</v>
      </c>
      <c r="L34" s="281"/>
      <c r="M34" s="259"/>
      <c r="AB34" s="382" t="s">
        <v>141</v>
      </c>
      <c r="AC34" s="386">
        <f>F54</f>
        <v>0</v>
      </c>
    </row>
    <row r="35" spans="1:29" s="69" customFormat="1" ht="21" x14ac:dyDescent="0.4">
      <c r="A35" s="585"/>
      <c r="B35" s="287"/>
      <c r="C35" s="274"/>
      <c r="D35" s="270"/>
      <c r="E35" s="262"/>
      <c r="F35" s="276"/>
      <c r="G35" s="119"/>
      <c r="H35" s="277"/>
      <c r="I35" s="119"/>
      <c r="J35" s="237"/>
      <c r="K35" s="119"/>
      <c r="L35" s="267"/>
      <c r="M35" s="259"/>
      <c r="N35"/>
      <c r="O35"/>
      <c r="P35"/>
      <c r="S35"/>
      <c r="T35"/>
      <c r="U35"/>
      <c r="AB35" s="382" t="s">
        <v>853</v>
      </c>
      <c r="AC35" s="384">
        <f>F60</f>
        <v>0</v>
      </c>
    </row>
    <row r="36" spans="1:29" s="69" customFormat="1" ht="17.399999999999999" x14ac:dyDescent="0.3">
      <c r="A36" s="585"/>
      <c r="B36" s="1081" t="s">
        <v>83</v>
      </c>
      <c r="C36" s="1082"/>
      <c r="D36" s="1082"/>
      <c r="E36" s="262"/>
      <c r="F36" s="276"/>
      <c r="G36" s="119"/>
      <c r="H36" s="277"/>
      <c r="I36" s="119"/>
      <c r="J36" s="237"/>
      <c r="K36" s="119"/>
      <c r="L36" s="267"/>
      <c r="M36" s="259"/>
      <c r="N36"/>
      <c r="O36"/>
      <c r="P36"/>
      <c r="S36"/>
      <c r="T36"/>
      <c r="U36"/>
      <c r="AB36" s="5"/>
      <c r="AC36" s="5"/>
    </row>
    <row r="37" spans="1:29" s="69" customFormat="1" ht="21" x14ac:dyDescent="0.4">
      <c r="A37" s="585"/>
      <c r="B37" s="287"/>
      <c r="C37" s="274" t="s">
        <v>229</v>
      </c>
      <c r="D37" s="270"/>
      <c r="E37" s="262"/>
      <c r="F37" s="276">
        <f>IF('Gårdens info'!$D$40&gt;0,J37/'Gårdens info'!$D$40,0)</f>
        <v>0</v>
      </c>
      <c r="G37" s="119" t="s">
        <v>57</v>
      </c>
      <c r="H37" s="277">
        <f>IF('Gårdens info'!$G$40&gt;0,F37/'Gårdens info'!$G$40,0)</f>
        <v>0</v>
      </c>
      <c r="I37" s="119" t="s">
        <v>206</v>
      </c>
      <c r="J37" s="237">
        <f>Egendom!BE61</f>
        <v>0</v>
      </c>
      <c r="K37" s="119" t="s">
        <v>846</v>
      </c>
      <c r="L37" s="267"/>
      <c r="M37" s="259"/>
      <c r="AB37" s="5"/>
      <c r="AC37" s="5"/>
    </row>
    <row r="38" spans="1:29" s="5" customFormat="1" ht="21" x14ac:dyDescent="0.4">
      <c r="A38" s="584"/>
      <c r="B38" s="287"/>
      <c r="C38" s="274" t="s">
        <v>230</v>
      </c>
      <c r="D38" s="270"/>
      <c r="E38" s="262"/>
      <c r="F38" s="276">
        <f>IF('Gårdens info'!$D$40&gt;0,J38/'Gårdens info'!$D$40,0)</f>
        <v>0</v>
      </c>
      <c r="G38" s="119" t="s">
        <v>57</v>
      </c>
      <c r="H38" s="277">
        <f>IF('Gårdens info'!$G$40&gt;0,F38/'Gårdens info'!$G$40,0)</f>
        <v>0</v>
      </c>
      <c r="I38" s="119" t="s">
        <v>206</v>
      </c>
      <c r="J38" s="237">
        <f>Egendom!CC61</f>
        <v>0</v>
      </c>
      <c r="K38" s="119" t="s">
        <v>846</v>
      </c>
      <c r="L38" s="267"/>
      <c r="M38" s="259"/>
      <c r="N38" s="69"/>
      <c r="O38" s="69"/>
      <c r="P38" s="69"/>
      <c r="Q38" s="69"/>
      <c r="R38" s="69"/>
      <c r="S38" s="69"/>
      <c r="T38" s="69"/>
      <c r="U38" s="69"/>
    </row>
    <row r="39" spans="1:29" s="5" customFormat="1" ht="17.399999999999999" customHeight="1" x14ac:dyDescent="0.3">
      <c r="A39" s="584"/>
      <c r="B39" s="287"/>
      <c r="C39" s="1083" t="s">
        <v>232</v>
      </c>
      <c r="D39" s="1083"/>
      <c r="E39" s="262"/>
      <c r="F39" s="276">
        <f>IF('Gårdens info'!$D$40&gt;0,J39/'Gårdens info'!$D$40,0)</f>
        <v>0</v>
      </c>
      <c r="G39" s="119" t="s">
        <v>57</v>
      </c>
      <c r="H39" s="277">
        <f>IF('Gårdens info'!$G$40&gt;0,F39/'Gårdens info'!$G$40,0)</f>
        <v>0</v>
      </c>
      <c r="I39" s="119" t="s">
        <v>206</v>
      </c>
      <c r="J39" s="237" t="e">
        <f>Egendom!DA61</f>
        <v>#DIV/0!</v>
      </c>
      <c r="K39" s="119" t="s">
        <v>846</v>
      </c>
      <c r="L39" s="267"/>
      <c r="M39" s="259"/>
      <c r="N39" s="69"/>
      <c r="O39" s="69"/>
      <c r="P39" s="69"/>
      <c r="Q39" s="69"/>
      <c r="R39" s="69"/>
      <c r="S39" s="69"/>
      <c r="T39" s="69"/>
      <c r="U39" s="69"/>
    </row>
    <row r="40" spans="1:29" s="5" customFormat="1" ht="21" x14ac:dyDescent="0.4">
      <c r="A40" s="584"/>
      <c r="B40" s="287"/>
      <c r="C40" s="274" t="s">
        <v>234</v>
      </c>
      <c r="D40" s="270"/>
      <c r="E40" s="262"/>
      <c r="F40" s="276">
        <f>IF('Gårdens info'!$D$40&gt;0,J40/'Gårdens info'!$D$40,0)</f>
        <v>0</v>
      </c>
      <c r="G40" s="119" t="s">
        <v>57</v>
      </c>
      <c r="H40" s="277">
        <f>IF('Gårdens info'!$G$40&gt;0,F40/'Gårdens info'!$G$40,0)</f>
        <v>0</v>
      </c>
      <c r="I40" s="119" t="s">
        <v>206</v>
      </c>
      <c r="J40" s="237" t="e">
        <f>Egendom!DY61</f>
        <v>#DIV/0!</v>
      </c>
      <c r="K40" s="119" t="s">
        <v>846</v>
      </c>
      <c r="L40" s="267"/>
      <c r="M40" s="259"/>
    </row>
    <row r="41" spans="1:29" s="5" customFormat="1" ht="20.399999999999999" x14ac:dyDescent="0.35">
      <c r="A41" s="584"/>
      <c r="B41" s="289"/>
      <c r="C41" s="278" t="s">
        <v>54</v>
      </c>
      <c r="D41" s="279"/>
      <c r="E41" s="262"/>
      <c r="F41" s="280">
        <f>SUM(F37:F40)</f>
        <v>0</v>
      </c>
      <c r="G41" s="119" t="s">
        <v>57</v>
      </c>
      <c r="H41" s="285">
        <f t="shared" ref="H41:J41" si="2">SUM(H37:H40)</f>
        <v>0</v>
      </c>
      <c r="I41" s="119" t="s">
        <v>206</v>
      </c>
      <c r="J41" s="280" t="e">
        <f t="shared" si="2"/>
        <v>#DIV/0!</v>
      </c>
      <c r="K41" s="119" t="s">
        <v>846</v>
      </c>
      <c r="L41" s="281"/>
      <c r="M41" s="259"/>
    </row>
    <row r="42" spans="1:29" s="5" customFormat="1" ht="21" x14ac:dyDescent="0.4">
      <c r="A42" s="584"/>
      <c r="B42" s="287"/>
      <c r="C42" s="274"/>
      <c r="D42" s="270"/>
      <c r="E42" s="262"/>
      <c r="F42" s="276"/>
      <c r="G42" s="119"/>
      <c r="H42" s="277"/>
      <c r="I42" s="119"/>
      <c r="J42" s="237"/>
      <c r="K42" s="119"/>
      <c r="L42" s="267"/>
      <c r="M42" s="259"/>
      <c r="AB42"/>
      <c r="AC42"/>
    </row>
    <row r="43" spans="1:29" s="5" customFormat="1" ht="43.2" customHeight="1" x14ac:dyDescent="0.3">
      <c r="A43" s="584"/>
      <c r="B43" s="1081" t="s">
        <v>854</v>
      </c>
      <c r="C43" s="1082"/>
      <c r="D43" s="1082"/>
      <c r="E43" s="262"/>
      <c r="F43" s="276"/>
      <c r="G43" s="119"/>
      <c r="H43" s="277"/>
      <c r="I43" s="119"/>
      <c r="J43" s="237"/>
      <c r="K43" s="119"/>
      <c r="L43" s="267"/>
      <c r="M43" s="259"/>
    </row>
    <row r="44" spans="1:29" ht="21" x14ac:dyDescent="0.4">
      <c r="B44" s="287"/>
      <c r="C44" s="274" t="s">
        <v>229</v>
      </c>
      <c r="D44" s="270"/>
      <c r="E44" s="262"/>
      <c r="F44" s="276">
        <f>IF('Gårdens info'!$D$40&gt;0,J44/'Gårdens info'!$D$40,0)</f>
        <v>0</v>
      </c>
      <c r="G44" s="119" t="s">
        <v>57</v>
      </c>
      <c r="H44" s="277">
        <f>IF('Gårdens info'!$G$40&gt;0,F44/'Gårdens info'!$G$40,0)</f>
        <v>0</v>
      </c>
      <c r="I44" s="119" t="s">
        <v>206</v>
      </c>
      <c r="J44" s="237">
        <f>Egendom!BE90</f>
        <v>0</v>
      </c>
      <c r="K44" s="119" t="s">
        <v>846</v>
      </c>
      <c r="L44" s="267"/>
      <c r="M44" s="259"/>
      <c r="N44" s="5"/>
      <c r="O44" s="5"/>
      <c r="P44" s="5"/>
      <c r="Q44" s="5"/>
      <c r="R44" s="5"/>
      <c r="S44" s="5"/>
      <c r="T44" s="5"/>
      <c r="U44" s="5"/>
      <c r="AB44" s="5"/>
      <c r="AC44" s="5"/>
    </row>
    <row r="45" spans="1:29" s="5" customFormat="1" ht="21" x14ac:dyDescent="0.4">
      <c r="A45" s="584"/>
      <c r="B45" s="287"/>
      <c r="C45" s="274" t="s">
        <v>230</v>
      </c>
      <c r="D45" s="270"/>
      <c r="E45" s="262"/>
      <c r="F45" s="276">
        <f>IF('Gårdens info'!$D$40&gt;0,J45/'Gårdens info'!$D$40,0)</f>
        <v>0</v>
      </c>
      <c r="G45" s="119" t="s">
        <v>57</v>
      </c>
      <c r="H45" s="277">
        <f>IF('Gårdens info'!$G$40&gt;0,F45/'Gårdens info'!$G$40,0)</f>
        <v>0</v>
      </c>
      <c r="I45" s="119" t="s">
        <v>206</v>
      </c>
      <c r="J45" s="237">
        <f>Egendom!CC90</f>
        <v>0</v>
      </c>
      <c r="K45" s="119" t="s">
        <v>846</v>
      </c>
      <c r="L45" s="267"/>
      <c r="M45" s="259"/>
    </row>
    <row r="46" spans="1:29" s="5" customFormat="1" ht="17.399999999999999" customHeight="1" x14ac:dyDescent="0.3">
      <c r="A46" s="584"/>
      <c r="B46" s="287"/>
      <c r="C46" s="1083" t="s">
        <v>232</v>
      </c>
      <c r="D46" s="1083"/>
      <c r="E46" s="262"/>
      <c r="F46" s="276">
        <f>IF('Gårdens info'!$D$40&gt;0,J46/'Gårdens info'!$D$40,0)</f>
        <v>0</v>
      </c>
      <c r="G46" s="119" t="s">
        <v>57</v>
      </c>
      <c r="H46" s="277">
        <f>IF('Gårdens info'!$G$40&gt;0,F46/'Gårdens info'!$G$40,0)</f>
        <v>0</v>
      </c>
      <c r="I46" s="119" t="s">
        <v>206</v>
      </c>
      <c r="J46" s="237">
        <f>Egendom!DA90</f>
        <v>0</v>
      </c>
      <c r="K46" s="119" t="s">
        <v>846</v>
      </c>
      <c r="L46" s="267"/>
      <c r="M46" s="259"/>
      <c r="N46"/>
      <c r="O46"/>
      <c r="P46"/>
      <c r="Q46"/>
      <c r="R46"/>
      <c r="S46"/>
      <c r="T46"/>
      <c r="U46"/>
    </row>
    <row r="47" spans="1:29" s="5" customFormat="1" ht="21" x14ac:dyDescent="0.4">
      <c r="A47" s="584"/>
      <c r="B47" s="287"/>
      <c r="C47" s="274" t="s">
        <v>234</v>
      </c>
      <c r="D47" s="270"/>
      <c r="E47" s="262"/>
      <c r="F47" s="276">
        <f>IF('Gårdens info'!$D$40&gt;0,J47/'Gårdens info'!$D$40,0)</f>
        <v>0</v>
      </c>
      <c r="G47" s="119" t="s">
        <v>57</v>
      </c>
      <c r="H47" s="277">
        <f>IF('Gårdens info'!$G$40&gt;0,F47/'Gårdens info'!$G$40,0)</f>
        <v>0</v>
      </c>
      <c r="I47" s="119" t="s">
        <v>206</v>
      </c>
      <c r="J47" s="237">
        <f>Egendom!DY90</f>
        <v>0</v>
      </c>
      <c r="K47" s="119" t="s">
        <v>846</v>
      </c>
      <c r="L47" s="267"/>
      <c r="M47" s="259"/>
    </row>
    <row r="48" spans="1:29" s="5" customFormat="1" ht="20.399999999999999" x14ac:dyDescent="0.35">
      <c r="A48" s="584"/>
      <c r="B48" s="289"/>
      <c r="C48" s="278" t="s">
        <v>54</v>
      </c>
      <c r="D48" s="279"/>
      <c r="E48" s="262"/>
      <c r="F48" s="280">
        <f>SUM(F44:F47)</f>
        <v>0</v>
      </c>
      <c r="G48" s="119" t="s">
        <v>57</v>
      </c>
      <c r="H48" s="285">
        <f t="shared" ref="H48:J48" si="3">SUM(H44:H47)</f>
        <v>0</v>
      </c>
      <c r="I48" s="119" t="s">
        <v>206</v>
      </c>
      <c r="J48" s="280">
        <f t="shared" si="3"/>
        <v>0</v>
      </c>
      <c r="K48" s="119" t="s">
        <v>846</v>
      </c>
      <c r="L48" s="281"/>
      <c r="M48" s="259"/>
    </row>
    <row r="49" spans="1:29" s="5" customFormat="1" ht="21" x14ac:dyDescent="0.4">
      <c r="A49" s="584"/>
      <c r="B49" s="287"/>
      <c r="C49" s="274"/>
      <c r="D49" s="270"/>
      <c r="E49" s="262"/>
      <c r="F49" s="276"/>
      <c r="G49" s="119"/>
      <c r="H49" s="277"/>
      <c r="I49" s="119"/>
      <c r="J49" s="237"/>
      <c r="K49" s="119"/>
      <c r="L49" s="267"/>
      <c r="M49" s="259"/>
    </row>
    <row r="50" spans="1:29" s="5" customFormat="1" ht="21" x14ac:dyDescent="0.4">
      <c r="A50" s="584"/>
      <c r="B50" s="1084" t="s">
        <v>139</v>
      </c>
      <c r="C50" s="1085"/>
      <c r="D50" s="270"/>
      <c r="E50" s="262"/>
      <c r="F50" s="276"/>
      <c r="G50" s="119"/>
      <c r="H50" s="277"/>
      <c r="I50" s="119"/>
      <c r="J50" s="237"/>
      <c r="K50" s="119"/>
      <c r="L50" s="267"/>
      <c r="M50" s="259"/>
    </row>
    <row r="51" spans="1:29" s="5" customFormat="1" ht="21" x14ac:dyDescent="0.4">
      <c r="A51" s="584"/>
      <c r="B51" s="287"/>
      <c r="C51" s="274" t="s">
        <v>229</v>
      </c>
      <c r="D51" s="270"/>
      <c r="E51" s="262"/>
      <c r="F51" s="276">
        <f>IF('Gårdens info'!$D$40&gt;0,J51/'Gårdens info'!$D$40,0)</f>
        <v>0</v>
      </c>
      <c r="G51" s="119" t="s">
        <v>57</v>
      </c>
      <c r="H51" s="277">
        <f>IF('Gårdens info'!$G$40&gt;0,F51/'Gårdens info'!$G$40,0)</f>
        <v>0</v>
      </c>
      <c r="I51" s="119" t="s">
        <v>206</v>
      </c>
      <c r="J51" s="237">
        <f>Egendom!BE93</f>
        <v>0</v>
      </c>
      <c r="K51" s="119" t="s">
        <v>846</v>
      </c>
      <c r="L51" s="267"/>
      <c r="M51" s="259"/>
    </row>
    <row r="52" spans="1:29" s="5" customFormat="1" ht="19.95" customHeight="1" x14ac:dyDescent="0.4">
      <c r="A52" s="584"/>
      <c r="B52" s="287"/>
      <c r="C52" s="274" t="s">
        <v>230</v>
      </c>
      <c r="D52" s="270"/>
      <c r="E52" s="262"/>
      <c r="F52" s="276">
        <f>IF('Gårdens info'!$D$40&gt;0,J52/'Gårdens info'!$D$40,0)</f>
        <v>0</v>
      </c>
      <c r="G52" s="119" t="s">
        <v>57</v>
      </c>
      <c r="H52" s="277">
        <f>IF('Gårdens info'!$G$40&gt;0,F52/'Gårdens info'!$G$40,0)</f>
        <v>0</v>
      </c>
      <c r="I52" s="119" t="s">
        <v>206</v>
      </c>
      <c r="J52" s="237">
        <f>Egendom!CC93</f>
        <v>0</v>
      </c>
      <c r="K52" s="119" t="s">
        <v>846</v>
      </c>
      <c r="L52" s="267"/>
      <c r="M52" s="259"/>
    </row>
    <row r="53" spans="1:29" s="5" customFormat="1" ht="17.399999999999999" customHeight="1" x14ac:dyDescent="0.3">
      <c r="A53" s="584"/>
      <c r="B53" s="287"/>
      <c r="C53" s="1083" t="s">
        <v>232</v>
      </c>
      <c r="D53" s="1083"/>
      <c r="E53" s="262"/>
      <c r="F53" s="276">
        <f>IF('Gårdens info'!$D$40&gt;0,J53/'Gårdens info'!$D$40,0)</f>
        <v>0</v>
      </c>
      <c r="G53" s="119" t="s">
        <v>57</v>
      </c>
      <c r="H53" s="277">
        <f>IF('Gårdens info'!$G$40&gt;0,F53/'Gårdens info'!$G$40,0)</f>
        <v>0</v>
      </c>
      <c r="I53" s="119" t="s">
        <v>206</v>
      </c>
      <c r="J53" s="237">
        <f>Egendom!DA93</f>
        <v>0</v>
      </c>
      <c r="K53" s="119" t="s">
        <v>846</v>
      </c>
      <c r="L53" s="267"/>
      <c r="M53" s="259"/>
    </row>
    <row r="54" spans="1:29" s="5" customFormat="1" ht="15.6" x14ac:dyDescent="0.3">
      <c r="A54" s="584"/>
      <c r="B54" s="286"/>
      <c r="C54" s="261" t="s">
        <v>54</v>
      </c>
      <c r="D54" s="261"/>
      <c r="E54" s="261"/>
      <c r="F54" s="280">
        <f>SUM(F51:F53)</f>
        <v>0</v>
      </c>
      <c r="G54" s="119" t="s">
        <v>57</v>
      </c>
      <c r="H54" s="285">
        <f t="shared" ref="H54:J54" si="4">SUM(H51:H53)</f>
        <v>0</v>
      </c>
      <c r="I54" s="119" t="s">
        <v>206</v>
      </c>
      <c r="J54" s="280">
        <f t="shared" si="4"/>
        <v>0</v>
      </c>
      <c r="K54" s="119" t="s">
        <v>846</v>
      </c>
      <c r="L54" s="284"/>
      <c r="M54" s="290"/>
    </row>
    <row r="55" spans="1:29" s="5" customFormat="1" ht="21" customHeight="1" x14ac:dyDescent="0.4">
      <c r="A55" s="584"/>
      <c r="B55" s="1061" t="s">
        <v>191</v>
      </c>
      <c r="C55" s="1043"/>
      <c r="D55" s="1043"/>
      <c r="E55" s="262"/>
      <c r="F55" s="266">
        <f>F34+F41+F48+F54</f>
        <v>0</v>
      </c>
      <c r="G55" s="267" t="s">
        <v>57</v>
      </c>
      <c r="H55" s="268">
        <f>H34+H41+H48+H54</f>
        <v>0</v>
      </c>
      <c r="I55" s="267" t="s">
        <v>206</v>
      </c>
      <c r="J55" s="269" t="e">
        <f>J34+J41+J48+J54</f>
        <v>#DIV/0!</v>
      </c>
      <c r="K55" s="267" t="s">
        <v>846</v>
      </c>
      <c r="L55" s="267"/>
      <c r="M55" s="259"/>
    </row>
    <row r="56" spans="1:29" s="5" customFormat="1" ht="15.6" x14ac:dyDescent="0.3">
      <c r="A56" s="584"/>
      <c r="B56" s="286"/>
      <c r="C56" s="262"/>
      <c r="D56" s="262"/>
      <c r="E56" s="262"/>
      <c r="F56" s="263"/>
      <c r="G56" s="243"/>
      <c r="H56" s="264"/>
      <c r="I56" s="243"/>
      <c r="J56" s="258"/>
      <c r="K56" s="243"/>
      <c r="L56" s="265"/>
      <c r="M56" s="259"/>
    </row>
    <row r="57" spans="1:29" s="5" customFormat="1" ht="21" x14ac:dyDescent="0.4">
      <c r="A57" s="584"/>
      <c r="B57" s="257" t="s">
        <v>192</v>
      </c>
      <c r="C57" s="262"/>
      <c r="D57" s="262"/>
      <c r="E57" s="262"/>
      <c r="F57" s="263"/>
      <c r="G57" s="243"/>
      <c r="H57" s="264"/>
      <c r="I57" s="243"/>
      <c r="J57" s="258"/>
      <c r="K57" s="243"/>
      <c r="L57" s="265"/>
      <c r="M57" s="259"/>
    </row>
    <row r="58" spans="1:29" s="5" customFormat="1" ht="15" x14ac:dyDescent="0.25">
      <c r="A58" s="584"/>
      <c r="B58" s="235"/>
      <c r="C58" s="228" t="s">
        <v>192</v>
      </c>
      <c r="D58" s="236"/>
      <c r="E58" s="236"/>
      <c r="F58" s="237">
        <f>IF('Gårdens info'!D40&gt;0,H134,0)</f>
        <v>0</v>
      </c>
      <c r="G58" s="119" t="s">
        <v>57</v>
      </c>
      <c r="H58" s="238">
        <f>IF('Gårdens info'!G40&gt;0,F58/'Gårdens info'!$G$40,0)</f>
        <v>0</v>
      </c>
      <c r="I58" s="119" t="s">
        <v>206</v>
      </c>
      <c r="J58" s="237">
        <f>F58*'Gårdens info'!D39</f>
        <v>0</v>
      </c>
      <c r="K58" s="119" t="s">
        <v>846</v>
      </c>
      <c r="L58" s="236"/>
      <c r="M58" s="239"/>
    </row>
    <row r="59" spans="1:29" s="5" customFormat="1" ht="17.399999999999999" x14ac:dyDescent="0.3">
      <c r="A59" s="584"/>
      <c r="B59" s="248"/>
      <c r="C59" s="245"/>
      <c r="D59" s="249"/>
      <c r="E59" s="249"/>
      <c r="F59" s="250"/>
      <c r="G59" s="120"/>
      <c r="H59" s="249"/>
      <c r="I59" s="249"/>
      <c r="J59" s="249"/>
      <c r="K59" s="249"/>
      <c r="L59" s="249"/>
      <c r="M59" s="234"/>
    </row>
    <row r="60" spans="1:29" s="5" customFormat="1" ht="21" customHeight="1" x14ac:dyDescent="0.4">
      <c r="A60" s="584"/>
      <c r="B60" s="1061" t="s">
        <v>192</v>
      </c>
      <c r="C60" s="1043"/>
      <c r="D60" s="1043"/>
      <c r="E60" s="262"/>
      <c r="F60" s="266">
        <f>F58</f>
        <v>0</v>
      </c>
      <c r="G60" s="267" t="s">
        <v>57</v>
      </c>
      <c r="H60" s="268">
        <f>H58</f>
        <v>0</v>
      </c>
      <c r="I60" s="267" t="s">
        <v>206</v>
      </c>
      <c r="J60" s="269">
        <f>J58</f>
        <v>0</v>
      </c>
      <c r="K60" s="267" t="s">
        <v>846</v>
      </c>
      <c r="L60" s="267"/>
      <c r="M60" s="259"/>
    </row>
    <row r="61" spans="1:29" s="5" customFormat="1" ht="21" x14ac:dyDescent="0.4">
      <c r="A61" s="584"/>
      <c r="B61" s="288"/>
      <c r="C61" s="270"/>
      <c r="D61" s="270"/>
      <c r="E61" s="262"/>
      <c r="F61" s="266"/>
      <c r="G61" s="267"/>
      <c r="H61" s="268"/>
      <c r="I61" s="267"/>
      <c r="J61" s="269"/>
      <c r="K61" s="267"/>
      <c r="L61" s="267"/>
      <c r="M61" s="259"/>
    </row>
    <row r="62" spans="1:29" s="5" customFormat="1" ht="21" customHeight="1" x14ac:dyDescent="0.4">
      <c r="A62" s="584"/>
      <c r="B62" s="1061" t="s">
        <v>822</v>
      </c>
      <c r="C62" s="1043"/>
      <c r="D62" s="1043"/>
      <c r="E62" s="262"/>
      <c r="F62" s="266">
        <f>F26+F55+F60</f>
        <v>0</v>
      </c>
      <c r="G62" s="267" t="s">
        <v>57</v>
      </c>
      <c r="H62" s="572">
        <f>H26+H55+H60</f>
        <v>0</v>
      </c>
      <c r="I62" s="267" t="s">
        <v>206</v>
      </c>
      <c r="J62" s="266" t="e">
        <f>J26+J55+J60</f>
        <v>#DIV/0!</v>
      </c>
      <c r="K62" s="267" t="s">
        <v>846</v>
      </c>
      <c r="L62" s="267"/>
      <c r="M62" s="259"/>
    </row>
    <row r="63" spans="1:29" s="5" customFormat="1" ht="21" x14ac:dyDescent="0.4">
      <c r="A63" s="584"/>
      <c r="B63" s="288"/>
      <c r="C63" s="270"/>
      <c r="D63" s="270"/>
      <c r="E63" s="262"/>
      <c r="F63" s="266"/>
      <c r="G63" s="267"/>
      <c r="H63" s="268"/>
      <c r="I63" s="267"/>
      <c r="J63" s="269"/>
      <c r="K63" s="267"/>
      <c r="L63" s="267"/>
      <c r="M63" s="259"/>
    </row>
    <row r="64" spans="1:29" s="5" customFormat="1" ht="21.6" customHeight="1" thickBot="1" x14ac:dyDescent="0.45">
      <c r="A64" s="584"/>
      <c r="B64" s="1059" t="s">
        <v>198</v>
      </c>
      <c r="C64" s="1060"/>
      <c r="D64" s="1060"/>
      <c r="E64" s="253"/>
      <c r="F64" s="292">
        <f>F11-F26-F55-F60</f>
        <v>0</v>
      </c>
      <c r="G64" s="293" t="s">
        <v>57</v>
      </c>
      <c r="H64" s="294">
        <f>H11-H26-H55-H60</f>
        <v>0.24</v>
      </c>
      <c r="I64" s="293" t="s">
        <v>206</v>
      </c>
      <c r="J64" s="292" t="e">
        <f>J11-J26-J55-J60</f>
        <v>#DIV/0!</v>
      </c>
      <c r="K64" s="293" t="s">
        <v>846</v>
      </c>
      <c r="L64" s="293"/>
      <c r="M64" s="254"/>
      <c r="AB64" s="194"/>
      <c r="AC64" s="194"/>
    </row>
    <row r="65" spans="1:29" s="5" customFormat="1" ht="21" x14ac:dyDescent="0.4">
      <c r="A65" s="584"/>
      <c r="B65" s="55"/>
      <c r="C65"/>
      <c r="D65"/>
      <c r="E65"/>
      <c r="F65"/>
      <c r="G65"/>
      <c r="H65"/>
      <c r="I65"/>
      <c r="J65"/>
      <c r="K65"/>
      <c r="L65"/>
      <c r="M65"/>
    </row>
    <row r="66" spans="1:29" s="194" customFormat="1" ht="16.2" thickBot="1" x14ac:dyDescent="0.35">
      <c r="A66" s="588"/>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584"/>
      <c r="B67" s="1078" t="s">
        <v>240</v>
      </c>
      <c r="C67" s="1079"/>
      <c r="D67" s="1079"/>
      <c r="E67" s="1080"/>
      <c r="F67"/>
      <c r="G67"/>
      <c r="H67"/>
      <c r="I67"/>
      <c r="J67"/>
      <c r="K67"/>
      <c r="L67" s="1073" t="s">
        <v>241</v>
      </c>
      <c r="M67" s="1073"/>
      <c r="AB67"/>
      <c r="AC67"/>
    </row>
    <row r="68" spans="1:29" s="5" customFormat="1" ht="21" x14ac:dyDescent="0.4">
      <c r="A68" s="584"/>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113</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855</v>
      </c>
      <c r="D71" s="44"/>
      <c r="E71" s="44"/>
      <c r="F71" s="74">
        <v>80</v>
      </c>
      <c r="G71" s="44" t="s">
        <v>8</v>
      </c>
      <c r="H71" s="77">
        <v>1.1000000000000001</v>
      </c>
      <c r="I71" s="49" t="s">
        <v>206</v>
      </c>
      <c r="J71" s="191">
        <f>F71*H71</f>
        <v>88</v>
      </c>
      <c r="K71" s="44" t="s">
        <v>57</v>
      </c>
      <c r="L71" s="46"/>
      <c r="M71" s="46"/>
      <c r="AB71" s="5"/>
      <c r="AC71" s="5"/>
    </row>
    <row r="72" spans="1:29" ht="13.8" thickBot="1" x14ac:dyDescent="0.3">
      <c r="B72" s="44"/>
      <c r="C72" s="45" t="s">
        <v>823</v>
      </c>
      <c r="D72" s="46"/>
      <c r="E72" s="44"/>
      <c r="F72" s="74"/>
      <c r="G72" s="44" t="s">
        <v>8</v>
      </c>
      <c r="H72" s="74"/>
      <c r="I72" s="49" t="s">
        <v>206</v>
      </c>
      <c r="J72" s="191">
        <f>F72*H72</f>
        <v>0</v>
      </c>
      <c r="K72" s="44" t="s">
        <v>57</v>
      </c>
      <c r="L72" s="44"/>
      <c r="M72" s="46"/>
    </row>
    <row r="73" spans="1:29" s="5" customFormat="1" x14ac:dyDescent="0.25">
      <c r="A73" s="584"/>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584"/>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586"/>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586"/>
      <c r="B77" s="97"/>
      <c r="C77" s="97" t="s">
        <v>824</v>
      </c>
      <c r="D77" s="97"/>
      <c r="E77" s="97"/>
      <c r="F77" s="74">
        <v>370</v>
      </c>
      <c r="G77" s="97" t="s">
        <v>212</v>
      </c>
      <c r="H77" s="77">
        <v>0.41</v>
      </c>
      <c r="I77" s="98" t="s">
        <v>206</v>
      </c>
      <c r="J77" s="100">
        <f t="shared" ref="J77:J78" si="5">F77*H77</f>
        <v>151.69999999999999</v>
      </c>
      <c r="K77" s="97" t="s">
        <v>57</v>
      </c>
      <c r="L77" s="99"/>
      <c r="M77" s="99"/>
      <c r="AB77" s="69"/>
      <c r="AC77" s="69"/>
    </row>
    <row r="78" spans="1:29" ht="15.6" thickBot="1" x14ac:dyDescent="0.3">
      <c r="B78" s="97"/>
      <c r="C78" s="97" t="s">
        <v>251</v>
      </c>
      <c r="D78" s="97"/>
      <c r="E78" s="97"/>
      <c r="F78" s="74"/>
      <c r="G78" s="97" t="s">
        <v>212</v>
      </c>
      <c r="H78" s="77"/>
      <c r="I78" s="98" t="s">
        <v>206</v>
      </c>
      <c r="J78" s="100">
        <f t="shared" si="5"/>
        <v>0</v>
      </c>
      <c r="K78" s="97" t="s">
        <v>57</v>
      </c>
      <c r="L78" s="99"/>
      <c r="M78" s="99"/>
      <c r="N78" s="69"/>
      <c r="O78" s="69"/>
      <c r="P78" s="69"/>
      <c r="Q78" s="69"/>
      <c r="R78" s="69"/>
      <c r="S78" s="69"/>
      <c r="T78" s="69"/>
      <c r="U78" s="69"/>
      <c r="AB78" s="5"/>
      <c r="AC78" s="5"/>
    </row>
    <row r="79" spans="1:29" s="69" customFormat="1" ht="17.399999999999999" x14ac:dyDescent="0.3">
      <c r="A79" s="585"/>
      <c r="B79" s="214"/>
      <c r="C79" s="214" t="s">
        <v>54</v>
      </c>
      <c r="D79" s="214"/>
      <c r="E79" s="214"/>
      <c r="F79" s="214"/>
      <c r="G79" s="214"/>
      <c r="H79" s="214"/>
      <c r="I79" s="215"/>
      <c r="J79" s="216">
        <f>SUM(J77:J78)</f>
        <v>151.69999999999999</v>
      </c>
      <c r="K79" s="214" t="s">
        <v>57</v>
      </c>
      <c r="L79" s="214"/>
      <c r="M79" s="214"/>
      <c r="N79" s="56"/>
      <c r="O79" s="56"/>
      <c r="P79" s="56"/>
      <c r="Q79" s="56"/>
      <c r="R79" s="56"/>
      <c r="S79" s="56"/>
      <c r="T79" s="56"/>
      <c r="U79" s="56"/>
      <c r="AB79" s="5"/>
      <c r="AC79" s="5"/>
    </row>
    <row r="80" spans="1:29" s="5" customFormat="1" x14ac:dyDescent="0.25">
      <c r="A80" s="584"/>
      <c r="B80" s="97"/>
      <c r="C80" s="97"/>
      <c r="D80" s="97"/>
      <c r="E80" s="97"/>
      <c r="F80" s="97"/>
      <c r="G80" s="97"/>
      <c r="H80" s="97"/>
      <c r="I80" s="98"/>
      <c r="J80" s="100"/>
      <c r="K80" s="97"/>
      <c r="L80" s="99"/>
      <c r="M80" s="99"/>
      <c r="N80"/>
      <c r="O80"/>
      <c r="P80"/>
      <c r="Q80"/>
      <c r="R80"/>
      <c r="S80"/>
      <c r="T80"/>
      <c r="U80"/>
    </row>
    <row r="81" spans="1:29" s="5" customFormat="1" ht="15" x14ac:dyDescent="0.25">
      <c r="A81" s="584"/>
      <c r="B81"/>
      <c r="C81"/>
      <c r="D81"/>
      <c r="E81"/>
      <c r="F81"/>
      <c r="G81"/>
      <c r="H81"/>
      <c r="I81"/>
      <c r="J81"/>
      <c r="K81"/>
      <c r="L81"/>
      <c r="M81"/>
      <c r="N81" s="69"/>
      <c r="O81" s="69"/>
      <c r="P81" s="69"/>
      <c r="Q81" s="69"/>
      <c r="R81" s="69"/>
      <c r="S81" s="69"/>
      <c r="T81" s="69"/>
      <c r="U81" s="69"/>
      <c r="AB81"/>
      <c r="AC81"/>
    </row>
    <row r="82" spans="1:29" s="5" customFormat="1" ht="15.6" x14ac:dyDescent="0.3">
      <c r="A82" s="584"/>
      <c r="B82" s="85" t="s">
        <v>252</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x14ac:dyDescent="0.25">
      <c r="B85" s="171" t="s">
        <v>254</v>
      </c>
      <c r="C85" s="51"/>
      <c r="D85" s="51"/>
      <c r="E85" s="51"/>
      <c r="F85" s="53"/>
      <c r="G85" s="53"/>
      <c r="H85" s="52"/>
      <c r="I85" s="52"/>
      <c r="J85" s="58"/>
      <c r="K85" s="58"/>
      <c r="L85" s="58"/>
      <c r="M85" s="58"/>
    </row>
    <row r="86" spans="1:29" ht="13.8" thickBot="1" x14ac:dyDescent="0.3">
      <c r="B86" s="171"/>
      <c r="C86" s="51"/>
      <c r="D86" s="51"/>
      <c r="E86" s="51"/>
      <c r="F86" s="53"/>
      <c r="G86" s="53"/>
      <c r="H86" s="52"/>
      <c r="I86" s="52"/>
      <c r="J86" s="58"/>
      <c r="K86" s="58"/>
      <c r="L86" s="58"/>
      <c r="M86" s="58"/>
    </row>
    <row r="87" spans="1:29" ht="13.8" thickBot="1" x14ac:dyDescent="0.3">
      <c r="B87" s="51"/>
      <c r="C87" s="51" t="s">
        <v>825</v>
      </c>
      <c r="D87" s="58"/>
      <c r="E87" s="51"/>
      <c r="F87" s="95">
        <v>0.8</v>
      </c>
      <c r="G87" s="53" t="s">
        <v>256</v>
      </c>
      <c r="H87" s="77">
        <v>15.32</v>
      </c>
      <c r="I87" s="52" t="s">
        <v>257</v>
      </c>
      <c r="J87" s="463">
        <f t="shared" ref="J87:J91" si="6">F87*H87</f>
        <v>12.256</v>
      </c>
      <c r="K87" s="51" t="s">
        <v>57</v>
      </c>
      <c r="L87" s="58"/>
      <c r="M87" s="58"/>
    </row>
    <row r="88" spans="1:29" ht="13.8" thickBot="1" x14ac:dyDescent="0.3">
      <c r="B88" s="51"/>
      <c r="C88" s="51" t="s">
        <v>826</v>
      </c>
      <c r="D88" s="51"/>
      <c r="E88" s="51"/>
      <c r="F88" s="95">
        <v>7.5</v>
      </c>
      <c r="G88" s="53" t="s">
        <v>260</v>
      </c>
      <c r="H88" s="77">
        <v>2.15</v>
      </c>
      <c r="I88" s="52" t="s">
        <v>261</v>
      </c>
      <c r="J88" s="463">
        <f t="shared" si="6"/>
        <v>16.125</v>
      </c>
      <c r="K88" s="51" t="s">
        <v>57</v>
      </c>
      <c r="L88" s="58"/>
      <c r="M88" s="58"/>
    </row>
    <row r="89" spans="1:29" ht="13.8" thickBot="1" x14ac:dyDescent="0.3">
      <c r="B89" s="51"/>
      <c r="C89" s="51" t="s">
        <v>827</v>
      </c>
      <c r="D89" s="51"/>
      <c r="E89" s="51"/>
      <c r="F89" s="95">
        <v>0.3</v>
      </c>
      <c r="G89" s="53" t="s">
        <v>260</v>
      </c>
      <c r="H89" s="77">
        <v>42.34</v>
      </c>
      <c r="I89" s="52" t="s">
        <v>257</v>
      </c>
      <c r="J89" s="463">
        <f t="shared" si="6"/>
        <v>12.702</v>
      </c>
      <c r="K89" s="51" t="s">
        <v>57</v>
      </c>
      <c r="L89" s="58"/>
      <c r="M89" s="58"/>
    </row>
    <row r="90" spans="1:29" ht="13.8" thickBot="1" x14ac:dyDescent="0.3">
      <c r="B90" s="51"/>
      <c r="C90" s="51" t="s">
        <v>265</v>
      </c>
      <c r="D90" s="51"/>
      <c r="E90" s="51"/>
      <c r="F90" s="95"/>
      <c r="G90" s="53" t="s">
        <v>256</v>
      </c>
      <c r="H90" s="77"/>
      <c r="I90" s="52" t="s">
        <v>257</v>
      </c>
      <c r="J90" s="463">
        <f t="shared" si="6"/>
        <v>0</v>
      </c>
      <c r="K90" s="51" t="s">
        <v>57</v>
      </c>
      <c r="L90" s="58"/>
      <c r="M90" s="58"/>
    </row>
    <row r="91" spans="1:29" ht="13.8" thickBot="1" x14ac:dyDescent="0.3">
      <c r="B91" s="51"/>
      <c r="C91" s="51" t="s">
        <v>265</v>
      </c>
      <c r="D91" s="51"/>
      <c r="E91" s="51"/>
      <c r="F91" s="95"/>
      <c r="G91" s="53" t="s">
        <v>256</v>
      </c>
      <c r="H91" s="77"/>
      <c r="I91" s="52" t="s">
        <v>257</v>
      </c>
      <c r="J91" s="463">
        <f t="shared" si="6"/>
        <v>0</v>
      </c>
      <c r="K91" s="51" t="s">
        <v>57</v>
      </c>
      <c r="L91" s="58"/>
      <c r="M91" s="58"/>
    </row>
    <row r="92" spans="1:29" x14ac:dyDescent="0.25">
      <c r="B92" s="51"/>
      <c r="C92" s="51"/>
      <c r="D92" s="51"/>
      <c r="E92" s="51"/>
      <c r="F92" s="53"/>
      <c r="G92" s="53"/>
      <c r="H92" s="52"/>
      <c r="I92" s="52"/>
      <c r="J92" s="58"/>
      <c r="K92" s="51"/>
      <c r="L92" s="58"/>
      <c r="M92" s="58"/>
    </row>
    <row r="93" spans="1:29" ht="13.8" thickBot="1" x14ac:dyDescent="0.3">
      <c r="B93" s="171" t="s">
        <v>266</v>
      </c>
      <c r="C93" s="51"/>
      <c r="D93" s="51"/>
      <c r="E93" s="51"/>
      <c r="F93" s="53"/>
      <c r="G93" s="53"/>
      <c r="H93" s="52"/>
      <c r="I93" s="52"/>
      <c r="J93" s="58"/>
      <c r="K93" s="51"/>
      <c r="L93" s="58"/>
      <c r="M93" s="58"/>
    </row>
    <row r="94" spans="1:29" ht="13.8" thickBot="1" x14ac:dyDescent="0.3">
      <c r="B94" s="51"/>
      <c r="C94" s="51" t="s">
        <v>267</v>
      </c>
      <c r="D94" s="51"/>
      <c r="E94" s="51"/>
      <c r="F94" s="95"/>
      <c r="G94" s="53" t="s">
        <v>256</v>
      </c>
      <c r="H94" s="95"/>
      <c r="I94" s="52" t="s">
        <v>257</v>
      </c>
      <c r="J94" s="58">
        <f t="shared" ref="J94:J96" si="7">F94*H94</f>
        <v>0</v>
      </c>
      <c r="K94" s="51" t="s">
        <v>57</v>
      </c>
      <c r="L94" s="58"/>
      <c r="M94" s="58"/>
    </row>
    <row r="95" spans="1:29" ht="13.8" thickBot="1" x14ac:dyDescent="0.3">
      <c r="B95" s="51"/>
      <c r="C95" s="51" t="s">
        <v>267</v>
      </c>
      <c r="D95" s="51"/>
      <c r="E95" s="51"/>
      <c r="F95" s="95"/>
      <c r="G95" s="53" t="s">
        <v>256</v>
      </c>
      <c r="H95" s="95"/>
      <c r="I95" s="52" t="s">
        <v>257</v>
      </c>
      <c r="J95" s="58">
        <f t="shared" si="7"/>
        <v>0</v>
      </c>
      <c r="K95" s="51" t="s">
        <v>57</v>
      </c>
      <c r="L95" s="58"/>
      <c r="M95" s="58"/>
      <c r="AB95" s="5"/>
      <c r="AC95" s="5"/>
    </row>
    <row r="96" spans="1:29" ht="13.8" thickBot="1" x14ac:dyDescent="0.3">
      <c r="B96" s="51"/>
      <c r="C96" s="51" t="s">
        <v>267</v>
      </c>
      <c r="D96" s="51"/>
      <c r="E96" s="51"/>
      <c r="F96" s="95"/>
      <c r="G96" s="53" t="s">
        <v>256</v>
      </c>
      <c r="H96" s="95"/>
      <c r="I96" s="52" t="s">
        <v>257</v>
      </c>
      <c r="J96" s="58">
        <f t="shared" si="7"/>
        <v>0</v>
      </c>
      <c r="K96" s="51" t="s">
        <v>57</v>
      </c>
      <c r="L96" s="58"/>
      <c r="M96" s="58"/>
    </row>
    <row r="97" spans="1:29" s="5" customFormat="1" x14ac:dyDescent="0.25">
      <c r="A97" s="584"/>
      <c r="B97" s="195"/>
      <c r="C97" s="195" t="s">
        <v>54</v>
      </c>
      <c r="D97" s="195"/>
      <c r="E97" s="195"/>
      <c r="F97" s="196"/>
      <c r="G97" s="196"/>
      <c r="H97" s="196"/>
      <c r="I97" s="197"/>
      <c r="J97" s="197">
        <f>SUM(J87:J96)</f>
        <v>41.082999999999998</v>
      </c>
      <c r="K97" s="195" t="s">
        <v>57</v>
      </c>
      <c r="L97" s="195"/>
      <c r="M97" s="195"/>
      <c r="AB97"/>
      <c r="AC97"/>
    </row>
    <row r="98" spans="1:29" x14ac:dyDescent="0.25">
      <c r="B98" s="51"/>
      <c r="C98" s="51"/>
      <c r="D98" s="51"/>
      <c r="E98" s="51"/>
      <c r="F98" s="53"/>
      <c r="G98" s="53"/>
      <c r="H98" s="52"/>
      <c r="I98" s="52"/>
      <c r="J98" s="58"/>
      <c r="K98" s="51"/>
      <c r="L98" s="58"/>
      <c r="M98" s="58"/>
    </row>
    <row r="99" spans="1:29" x14ac:dyDescent="0.25">
      <c r="A99" s="589"/>
    </row>
    <row r="100" spans="1:29" ht="15.6" x14ac:dyDescent="0.3">
      <c r="A100" s="589"/>
      <c r="B100" s="176" t="s">
        <v>275</v>
      </c>
      <c r="C100" s="177"/>
      <c r="D100" s="177"/>
      <c r="E100" s="177"/>
      <c r="F100" s="1067" t="s">
        <v>114</v>
      </c>
      <c r="G100" s="1067"/>
      <c r="H100" s="1067" t="s">
        <v>113</v>
      </c>
      <c r="I100" s="1067"/>
      <c r="J100" s="1067" t="s">
        <v>243</v>
      </c>
      <c r="K100" s="1067"/>
      <c r="L100" s="179"/>
      <c r="M100" s="179"/>
    </row>
    <row r="101" spans="1:29" ht="13.8" thickBot="1" x14ac:dyDescent="0.3">
      <c r="A101" s="589"/>
      <c r="B101" s="177"/>
      <c r="C101" s="177"/>
      <c r="D101" s="177"/>
      <c r="E101" s="177"/>
      <c r="F101" s="177"/>
      <c r="G101" s="177"/>
      <c r="H101" s="178"/>
      <c r="I101" s="178"/>
      <c r="J101" s="179"/>
      <c r="K101" s="179"/>
      <c r="L101" s="179"/>
      <c r="M101" s="179"/>
    </row>
    <row r="102" spans="1:29" ht="13.8" thickBot="1" x14ac:dyDescent="0.3">
      <c r="A102" s="589"/>
      <c r="B102" s="177"/>
      <c r="C102" s="177" t="s">
        <v>828</v>
      </c>
      <c r="D102" s="179"/>
      <c r="E102" s="177"/>
      <c r="F102" s="74">
        <f>'Gårdens info'!D40</f>
        <v>0</v>
      </c>
      <c r="G102" s="177" t="s">
        <v>7</v>
      </c>
      <c r="H102" s="77">
        <v>80</v>
      </c>
      <c r="I102" s="178" t="s">
        <v>57</v>
      </c>
      <c r="J102" s="180">
        <f t="shared" ref="J102:J105" si="8">F102*H102</f>
        <v>0</v>
      </c>
      <c r="K102" s="177" t="s">
        <v>57</v>
      </c>
      <c r="L102" s="179"/>
      <c r="M102" s="179"/>
    </row>
    <row r="103" spans="1:29" ht="13.8" thickBot="1" x14ac:dyDescent="0.3">
      <c r="A103" s="589"/>
      <c r="B103" s="177"/>
      <c r="C103" s="177" t="s">
        <v>829</v>
      </c>
      <c r="D103" s="179"/>
      <c r="E103" s="177"/>
      <c r="F103" s="76">
        <v>1</v>
      </c>
      <c r="G103" s="177" t="s">
        <v>7</v>
      </c>
      <c r="H103" s="76">
        <f>45*7</f>
        <v>315</v>
      </c>
      <c r="I103" s="178" t="s">
        <v>57</v>
      </c>
      <c r="J103" s="180">
        <f t="shared" si="8"/>
        <v>315</v>
      </c>
      <c r="K103" s="177" t="s">
        <v>57</v>
      </c>
      <c r="L103" s="179"/>
      <c r="M103" s="179"/>
    </row>
    <row r="104" spans="1:29" ht="13.8" thickBot="1" x14ac:dyDescent="0.3">
      <c r="B104" s="177"/>
      <c r="C104" s="177" t="s">
        <v>276</v>
      </c>
      <c r="D104" s="177"/>
      <c r="E104" s="177"/>
      <c r="F104" s="74"/>
      <c r="G104" s="177" t="s">
        <v>7</v>
      </c>
      <c r="H104" s="77"/>
      <c r="I104" s="178" t="s">
        <v>57</v>
      </c>
      <c r="J104" s="180">
        <f t="shared" si="8"/>
        <v>0</v>
      </c>
      <c r="K104" s="177" t="s">
        <v>57</v>
      </c>
      <c r="L104" s="179"/>
      <c r="M104" s="179"/>
      <c r="AB104" s="5"/>
      <c r="AC104" s="5"/>
    </row>
    <row r="105" spans="1:29" ht="13.8" thickBot="1" x14ac:dyDescent="0.3">
      <c r="B105" s="177"/>
      <c r="C105" s="177" t="s">
        <v>276</v>
      </c>
      <c r="D105" s="177"/>
      <c r="E105" s="177"/>
      <c r="F105" s="74"/>
      <c r="G105" s="177" t="s">
        <v>7</v>
      </c>
      <c r="H105" s="77"/>
      <c r="I105" s="178" t="s">
        <v>57</v>
      </c>
      <c r="J105" s="180">
        <f t="shared" si="8"/>
        <v>0</v>
      </c>
      <c r="K105" s="177" t="s">
        <v>57</v>
      </c>
      <c r="L105" s="179"/>
      <c r="M105" s="179"/>
    </row>
    <row r="106" spans="1:29" s="5" customFormat="1" x14ac:dyDescent="0.25">
      <c r="A106" s="584"/>
      <c r="B106" s="204"/>
      <c r="C106" s="204" t="s">
        <v>54</v>
      </c>
      <c r="D106" s="204"/>
      <c r="E106" s="204"/>
      <c r="F106" s="204"/>
      <c r="G106" s="204"/>
      <c r="H106" s="205"/>
      <c r="I106" s="205"/>
      <c r="J106" s="206">
        <f>SUM(J102:J105)</f>
        <v>315</v>
      </c>
      <c r="K106" s="204" t="s">
        <v>57</v>
      </c>
      <c r="L106" s="204"/>
      <c r="M106" s="204"/>
      <c r="N106"/>
      <c r="O106"/>
      <c r="P106"/>
      <c r="Q106"/>
      <c r="R106"/>
      <c r="S106"/>
      <c r="T106"/>
      <c r="U106"/>
      <c r="AB106"/>
      <c r="AC106"/>
    </row>
    <row r="107" spans="1:29" x14ac:dyDescent="0.25">
      <c r="B107" s="177"/>
      <c r="C107" s="177"/>
      <c r="D107" s="177"/>
      <c r="E107" s="177"/>
      <c r="F107" s="177"/>
      <c r="G107" s="177"/>
      <c r="H107" s="178"/>
      <c r="I107" s="178"/>
      <c r="J107" s="180"/>
      <c r="K107" s="177"/>
      <c r="L107" s="179"/>
      <c r="M107" s="179"/>
    </row>
    <row r="108" spans="1:29" ht="30" customHeight="1" x14ac:dyDescent="0.25">
      <c r="N108" s="5"/>
      <c r="O108" s="5"/>
      <c r="P108" s="5"/>
      <c r="Q108" s="5"/>
      <c r="R108" s="5"/>
      <c r="S108" s="5"/>
      <c r="T108" s="5"/>
      <c r="U108" s="5"/>
    </row>
    <row r="109" spans="1:29" ht="15.6" x14ac:dyDescent="0.3">
      <c r="B109" s="181" t="s">
        <v>830</v>
      </c>
      <c r="C109" s="182"/>
      <c r="D109" s="182"/>
      <c r="E109" s="183"/>
      <c r="F109" s="182" t="s">
        <v>856</v>
      </c>
      <c r="G109" s="184"/>
      <c r="H109" s="184" t="s">
        <v>113</v>
      </c>
      <c r="I109" s="182"/>
      <c r="J109" s="182" t="s">
        <v>243</v>
      </c>
      <c r="K109" s="185"/>
      <c r="L109" s="185"/>
      <c r="M109" s="185"/>
    </row>
    <row r="110" spans="1:29" ht="16.2" thickBot="1" x14ac:dyDescent="0.35">
      <c r="B110" s="181"/>
      <c r="C110" s="182"/>
      <c r="D110" s="182"/>
      <c r="E110" s="183"/>
      <c r="F110" s="182"/>
      <c r="G110" s="184"/>
      <c r="H110" s="184"/>
      <c r="I110" s="182"/>
      <c r="J110" s="182"/>
      <c r="K110" s="185"/>
      <c r="L110" s="185"/>
      <c r="M110" s="185"/>
    </row>
    <row r="111" spans="1:29" ht="13.8" thickBot="1" x14ac:dyDescent="0.3">
      <c r="B111" s="182"/>
      <c r="C111" s="182" t="s">
        <v>278</v>
      </c>
      <c r="D111" s="185"/>
      <c r="E111" s="186"/>
      <c r="F111" s="74"/>
      <c r="G111" s="187" t="s">
        <v>279</v>
      </c>
      <c r="H111" s="74"/>
      <c r="I111" s="188" t="s">
        <v>280</v>
      </c>
      <c r="J111" s="185">
        <f>H111*F111</f>
        <v>0</v>
      </c>
      <c r="K111" s="188" t="s">
        <v>57</v>
      </c>
      <c r="L111" s="185"/>
      <c r="M111" s="185"/>
    </row>
    <row r="112" spans="1:29" ht="13.8" thickBot="1" x14ac:dyDescent="0.3">
      <c r="B112" s="182"/>
      <c r="C112" s="182" t="s">
        <v>698</v>
      </c>
      <c r="D112" s="188">
        <f>F134/2</f>
        <v>4.5</v>
      </c>
      <c r="E112" s="182" t="s">
        <v>282</v>
      </c>
      <c r="F112" s="74">
        <f>+D112*8</f>
        <v>36</v>
      </c>
      <c r="G112" s="184" t="s">
        <v>256</v>
      </c>
      <c r="H112" s="74">
        <v>0.83</v>
      </c>
      <c r="I112" s="188" t="s">
        <v>257</v>
      </c>
      <c r="J112" s="185">
        <f>H112*F112</f>
        <v>29.88</v>
      </c>
      <c r="K112" s="188" t="s">
        <v>57</v>
      </c>
      <c r="L112" s="185"/>
      <c r="M112" s="185"/>
    </row>
    <row r="113" spans="1:29" ht="13.8" thickBot="1" x14ac:dyDescent="0.3">
      <c r="B113" s="182"/>
      <c r="C113" s="182" t="s">
        <v>686</v>
      </c>
      <c r="D113" s="188">
        <f>D112</f>
        <v>4.5</v>
      </c>
      <c r="E113" s="182" t="s">
        <v>282</v>
      </c>
      <c r="F113" s="74">
        <v>11.88</v>
      </c>
      <c r="G113" s="184" t="s">
        <v>212</v>
      </c>
      <c r="H113" s="74">
        <v>4</v>
      </c>
      <c r="I113" s="188" t="s">
        <v>206</v>
      </c>
      <c r="J113" s="185">
        <f t="shared" ref="J113:J117" si="9">H113*F113</f>
        <v>47.52</v>
      </c>
      <c r="K113" s="188" t="s">
        <v>57</v>
      </c>
      <c r="L113" s="185"/>
      <c r="M113" s="185"/>
    </row>
    <row r="114" spans="1:29" ht="13.8" thickBot="1" x14ac:dyDescent="0.3">
      <c r="B114" s="182"/>
      <c r="C114" s="182" t="s">
        <v>284</v>
      </c>
      <c r="D114" s="185"/>
      <c r="E114" s="188"/>
      <c r="F114" s="74"/>
      <c r="G114" s="184" t="s">
        <v>256</v>
      </c>
      <c r="H114" s="74"/>
      <c r="I114" s="188" t="s">
        <v>257</v>
      </c>
      <c r="J114" s="185">
        <f t="shared" si="9"/>
        <v>0</v>
      </c>
      <c r="K114" s="188" t="s">
        <v>57</v>
      </c>
      <c r="L114" s="185"/>
      <c r="M114" s="185"/>
    </row>
    <row r="115" spans="1:29" ht="13.8" thickBot="1" x14ac:dyDescent="0.3">
      <c r="B115" s="182"/>
      <c r="C115" s="182" t="s">
        <v>286</v>
      </c>
      <c r="D115" s="185"/>
      <c r="E115" s="188"/>
      <c r="F115" s="74"/>
      <c r="G115" s="184" t="s">
        <v>256</v>
      </c>
      <c r="H115" s="74"/>
      <c r="I115" s="188" t="s">
        <v>257</v>
      </c>
      <c r="J115" s="185">
        <f t="shared" si="9"/>
        <v>0</v>
      </c>
      <c r="K115" s="188" t="s">
        <v>57</v>
      </c>
      <c r="L115" s="185"/>
      <c r="M115" s="185"/>
    </row>
    <row r="116" spans="1:29" ht="13.8" thickBot="1" x14ac:dyDescent="0.3">
      <c r="B116" s="182"/>
      <c r="C116" s="182" t="s">
        <v>286</v>
      </c>
      <c r="D116" s="185"/>
      <c r="E116" s="188"/>
      <c r="F116" s="74"/>
      <c r="G116" s="184"/>
      <c r="H116" s="74"/>
      <c r="I116" s="188"/>
      <c r="J116" s="185">
        <f t="shared" si="9"/>
        <v>0</v>
      </c>
      <c r="K116" s="188" t="s">
        <v>57</v>
      </c>
      <c r="L116" s="185"/>
      <c r="M116" s="185"/>
      <c r="AB116" s="5"/>
      <c r="AC116" s="5"/>
    </row>
    <row r="117" spans="1:29" ht="13.8" thickBot="1" x14ac:dyDescent="0.3">
      <c r="B117" s="185"/>
      <c r="C117" s="182" t="s">
        <v>286</v>
      </c>
      <c r="D117" s="185"/>
      <c r="E117" s="185"/>
      <c r="F117" s="74"/>
      <c r="G117" s="185"/>
      <c r="H117" s="74"/>
      <c r="I117" s="185"/>
      <c r="J117" s="185">
        <f t="shared" si="9"/>
        <v>0</v>
      </c>
      <c r="K117" s="188" t="s">
        <v>57</v>
      </c>
      <c r="L117" s="185"/>
      <c r="M117" s="185"/>
    </row>
    <row r="118" spans="1:29" s="5" customFormat="1" x14ac:dyDescent="0.25">
      <c r="A118" s="584"/>
      <c r="B118" s="207"/>
      <c r="C118" s="207" t="s">
        <v>54</v>
      </c>
      <c r="D118" s="207"/>
      <c r="E118" s="207"/>
      <c r="F118" s="207"/>
      <c r="G118" s="207"/>
      <c r="H118" s="207"/>
      <c r="I118" s="207"/>
      <c r="J118" s="207">
        <f>SUM(J111:J117)</f>
        <v>77.400000000000006</v>
      </c>
      <c r="K118" s="208" t="s">
        <v>57</v>
      </c>
      <c r="L118" s="207"/>
      <c r="M118" s="207"/>
      <c r="AB118"/>
      <c r="AC118"/>
    </row>
    <row r="119" spans="1:29" x14ac:dyDescent="0.25">
      <c r="B119" s="185"/>
      <c r="C119" s="185"/>
      <c r="D119" s="185"/>
      <c r="E119" s="185"/>
      <c r="F119" s="185"/>
      <c r="G119" s="185"/>
      <c r="H119" s="185"/>
      <c r="I119" s="185"/>
      <c r="J119" s="185"/>
      <c r="K119" s="185"/>
      <c r="L119" s="185"/>
      <c r="M119" s="185"/>
    </row>
    <row r="121" spans="1:29" ht="15.6" x14ac:dyDescent="0.3">
      <c r="B121" s="88" t="s">
        <v>287</v>
      </c>
      <c r="C121" s="79"/>
      <c r="D121" s="79"/>
      <c r="E121" s="79"/>
      <c r="F121" s="79"/>
      <c r="G121" s="79"/>
      <c r="H121" s="79"/>
      <c r="I121" s="79"/>
      <c r="J121" s="79"/>
      <c r="K121" s="79"/>
      <c r="L121" s="79"/>
      <c r="M121" s="79"/>
    </row>
    <row r="122" spans="1:29" ht="15.6" x14ac:dyDescent="0.3">
      <c r="B122" s="88"/>
      <c r="C122" s="79"/>
      <c r="D122" s="79"/>
      <c r="E122" s="79"/>
      <c r="F122" s="79"/>
      <c r="G122" s="79"/>
      <c r="H122" s="79"/>
      <c r="I122" s="79"/>
      <c r="J122" s="79"/>
      <c r="K122" s="79"/>
      <c r="L122" s="79"/>
      <c r="M122" s="79"/>
      <c r="AB122" s="5"/>
      <c r="AC122" s="5"/>
    </row>
    <row r="123" spans="1:29" ht="15" customHeight="1" x14ac:dyDescent="0.25">
      <c r="B123" s="1096" t="s">
        <v>699</v>
      </c>
      <c r="C123" s="1096"/>
      <c r="D123" s="1096"/>
      <c r="E123" s="1096"/>
      <c r="F123" s="1096"/>
      <c r="G123" s="1096"/>
      <c r="H123" s="1096"/>
      <c r="I123" s="1096"/>
      <c r="J123" s="1096"/>
      <c r="K123" s="1096"/>
      <c r="L123" s="1096"/>
      <c r="M123" s="1096"/>
    </row>
    <row r="124" spans="1:29" s="5" customFormat="1" ht="15.6" x14ac:dyDescent="0.3">
      <c r="A124" s="584"/>
      <c r="B124" s="88"/>
      <c r="C124" s="79"/>
      <c r="D124" s="79"/>
      <c r="E124" s="83"/>
      <c r="F124" s="83"/>
      <c r="G124" s="83"/>
      <c r="H124" s="84"/>
      <c r="I124" s="84"/>
      <c r="J124" s="83"/>
      <c r="K124" s="83"/>
      <c r="L124" s="84"/>
      <c r="M124" s="84"/>
      <c r="N124"/>
      <c r="O124"/>
      <c r="P124"/>
      <c r="Q124"/>
      <c r="R124"/>
      <c r="S124"/>
      <c r="T124"/>
      <c r="U124"/>
      <c r="AB124"/>
      <c r="AC124"/>
    </row>
    <row r="125" spans="1:29" ht="15.6" x14ac:dyDescent="0.3">
      <c r="B125" s="88"/>
      <c r="C125" s="79"/>
      <c r="D125" s="79"/>
      <c r="E125" s="1069" t="s">
        <v>290</v>
      </c>
      <c r="F125" s="1069"/>
      <c r="G125" s="1069"/>
      <c r="H125" s="1070" t="s">
        <v>113</v>
      </c>
      <c r="I125" s="1070"/>
      <c r="J125" s="1069" t="s">
        <v>291</v>
      </c>
      <c r="K125" s="1069"/>
      <c r="L125" s="1070" t="s">
        <v>113</v>
      </c>
      <c r="M125" s="1070"/>
    </row>
    <row r="126" spans="1:29" ht="33" customHeight="1" thickBot="1" x14ac:dyDescent="0.3">
      <c r="B126" s="78"/>
      <c r="C126" s="79"/>
      <c r="D126" s="79"/>
      <c r="E126" s="79"/>
      <c r="F126" s="79"/>
      <c r="G126" s="79"/>
      <c r="H126" s="79"/>
      <c r="I126" s="79"/>
      <c r="J126" s="79"/>
      <c r="K126" s="79"/>
      <c r="L126" s="79"/>
      <c r="M126" s="79"/>
      <c r="N126" s="5"/>
      <c r="O126" s="5"/>
      <c r="P126" s="5"/>
      <c r="Q126" s="5"/>
      <c r="R126" s="5"/>
      <c r="S126" s="5"/>
      <c r="T126" s="5"/>
      <c r="U126" s="5"/>
    </row>
    <row r="127" spans="1:29" ht="13.8" thickBot="1" x14ac:dyDescent="0.3">
      <c r="B127" s="79"/>
      <c r="C127" s="80" t="s">
        <v>292</v>
      </c>
      <c r="D127" s="79"/>
      <c r="E127" s="79"/>
      <c r="F127" s="91">
        <v>2</v>
      </c>
      <c r="G127" s="82" t="s">
        <v>293</v>
      </c>
      <c r="H127" s="93">
        <v>14.5</v>
      </c>
      <c r="I127" s="82" t="s">
        <v>294</v>
      </c>
      <c r="J127" s="92"/>
      <c r="K127" s="82" t="s">
        <v>293</v>
      </c>
      <c r="L127" s="93">
        <v>14.5</v>
      </c>
      <c r="M127" s="82" t="s">
        <v>294</v>
      </c>
    </row>
    <row r="128" spans="1:29" ht="13.8" thickBot="1" x14ac:dyDescent="0.3">
      <c r="B128" s="79"/>
      <c r="C128" s="80" t="s">
        <v>831</v>
      </c>
      <c r="D128" s="79"/>
      <c r="E128" s="79"/>
      <c r="F128" s="91">
        <v>3</v>
      </c>
      <c r="G128" s="82" t="s">
        <v>293</v>
      </c>
      <c r="H128" s="90">
        <f t="shared" ref="H128:H133" si="10">$H$127</f>
        <v>14.5</v>
      </c>
      <c r="I128" s="82" t="s">
        <v>294</v>
      </c>
      <c r="J128" s="92"/>
      <c r="K128" s="82" t="s">
        <v>293</v>
      </c>
      <c r="L128" s="90">
        <f t="shared" ref="L128:L133" si="11">$L$127</f>
        <v>14.5</v>
      </c>
      <c r="M128" s="82" t="s">
        <v>294</v>
      </c>
    </row>
    <row r="129" spans="2:21" ht="13.8" thickBot="1" x14ac:dyDescent="0.3">
      <c r="B129" s="79"/>
      <c r="C129" s="80" t="s">
        <v>381</v>
      </c>
      <c r="D129" s="79"/>
      <c r="E129" s="79"/>
      <c r="F129" s="91">
        <v>2</v>
      </c>
      <c r="G129" s="82" t="s">
        <v>293</v>
      </c>
      <c r="H129" s="90">
        <f t="shared" si="10"/>
        <v>14.5</v>
      </c>
      <c r="I129" s="82" t="s">
        <v>294</v>
      </c>
      <c r="J129" s="92"/>
      <c r="K129" s="82" t="s">
        <v>293</v>
      </c>
      <c r="L129" s="90">
        <f t="shared" si="11"/>
        <v>14.5</v>
      </c>
      <c r="M129" s="82" t="s">
        <v>294</v>
      </c>
    </row>
    <row r="130" spans="2:21" ht="13.8" thickBot="1" x14ac:dyDescent="0.3">
      <c r="B130" s="79"/>
      <c r="C130" s="80" t="s">
        <v>832</v>
      </c>
      <c r="D130" s="79"/>
      <c r="E130" s="79"/>
      <c r="F130" s="91">
        <v>2</v>
      </c>
      <c r="G130" s="82" t="s">
        <v>293</v>
      </c>
      <c r="H130" s="90">
        <f t="shared" si="10"/>
        <v>14.5</v>
      </c>
      <c r="I130" s="82" t="s">
        <v>294</v>
      </c>
      <c r="J130" s="92"/>
      <c r="K130" s="82" t="s">
        <v>293</v>
      </c>
      <c r="L130" s="90">
        <f t="shared" si="11"/>
        <v>14.5</v>
      </c>
      <c r="M130" s="82" t="s">
        <v>294</v>
      </c>
    </row>
    <row r="131" spans="2:21" ht="13.8" thickBot="1" x14ac:dyDescent="0.3">
      <c r="B131" s="79"/>
      <c r="C131" s="80" t="s">
        <v>431</v>
      </c>
      <c r="D131" s="79"/>
      <c r="E131" s="79"/>
      <c r="F131" s="92"/>
      <c r="G131" s="82" t="s">
        <v>293</v>
      </c>
      <c r="H131" s="90">
        <f t="shared" si="10"/>
        <v>14.5</v>
      </c>
      <c r="I131" s="82" t="s">
        <v>294</v>
      </c>
      <c r="J131" s="75"/>
      <c r="K131" s="82" t="s">
        <v>293</v>
      </c>
      <c r="L131" s="90">
        <f t="shared" si="11"/>
        <v>14.5</v>
      </c>
      <c r="M131" s="82" t="s">
        <v>294</v>
      </c>
    </row>
    <row r="132" spans="2:21" ht="13.8" thickBot="1" x14ac:dyDescent="0.3">
      <c r="B132" s="79"/>
      <c r="C132" s="80" t="s">
        <v>431</v>
      </c>
      <c r="D132" s="79"/>
      <c r="E132" s="79"/>
      <c r="F132" s="92"/>
      <c r="G132" s="82" t="s">
        <v>293</v>
      </c>
      <c r="H132" s="90">
        <f t="shared" si="10"/>
        <v>14.5</v>
      </c>
      <c r="I132" s="82" t="s">
        <v>294</v>
      </c>
      <c r="J132" s="75"/>
      <c r="K132" s="82" t="s">
        <v>293</v>
      </c>
      <c r="L132" s="90">
        <f t="shared" si="11"/>
        <v>14.5</v>
      </c>
      <c r="M132" s="82" t="s">
        <v>294</v>
      </c>
    </row>
    <row r="133" spans="2:21" ht="13.8" thickBot="1" x14ac:dyDescent="0.3">
      <c r="B133" s="79"/>
      <c r="C133" s="80" t="s">
        <v>431</v>
      </c>
      <c r="D133" s="81"/>
      <c r="E133" s="81"/>
      <c r="F133" s="75"/>
      <c r="G133" s="82" t="s">
        <v>293</v>
      </c>
      <c r="H133" s="90">
        <f t="shared" si="10"/>
        <v>14.5</v>
      </c>
      <c r="I133" s="82" t="s">
        <v>294</v>
      </c>
      <c r="J133" s="75"/>
      <c r="K133" s="82" t="s">
        <v>293</v>
      </c>
      <c r="L133" s="90">
        <f t="shared" si="11"/>
        <v>14.5</v>
      </c>
      <c r="M133" s="82" t="s">
        <v>294</v>
      </c>
    </row>
    <row r="134" spans="2:21" x14ac:dyDescent="0.25">
      <c r="B134" s="209"/>
      <c r="C134" s="210" t="s">
        <v>54</v>
      </c>
      <c r="D134" s="211"/>
      <c r="E134" s="211"/>
      <c r="F134" s="212">
        <f>SUM(F127:F133)</f>
        <v>9</v>
      </c>
      <c r="G134" s="209" t="s">
        <v>293</v>
      </c>
      <c r="H134" s="213">
        <f>F134*H127</f>
        <v>130.5</v>
      </c>
      <c r="I134" s="209" t="s">
        <v>57</v>
      </c>
      <c r="J134" s="212">
        <f>SUM(J127:J133)</f>
        <v>0</v>
      </c>
      <c r="K134" s="209" t="s">
        <v>293</v>
      </c>
      <c r="L134" s="213">
        <f>J134*L127</f>
        <v>0</v>
      </c>
      <c r="M134" s="209" t="s">
        <v>57</v>
      </c>
    </row>
    <row r="136" spans="2:21" ht="40.200000000000003" customHeight="1" x14ac:dyDescent="0.25">
      <c r="N136" s="5"/>
      <c r="O136" s="5"/>
      <c r="P136" s="5"/>
      <c r="Q136" s="5"/>
      <c r="R136" s="5"/>
      <c r="S136" s="5"/>
      <c r="T136" s="5"/>
      <c r="U136" s="5"/>
    </row>
    <row r="139" spans="2:21" ht="37.950000000000003" customHeight="1" x14ac:dyDescent="0.25"/>
    <row r="149" spans="1:29" x14ac:dyDescent="0.25">
      <c r="AB149" s="5"/>
      <c r="AC149" s="5"/>
    </row>
    <row r="151" spans="1:29" s="5" customFormat="1" x14ac:dyDescent="0.25">
      <c r="A151" s="584"/>
      <c r="B151"/>
      <c r="C151"/>
      <c r="D151"/>
      <c r="E151"/>
      <c r="F151"/>
      <c r="G151"/>
      <c r="H151"/>
      <c r="I151"/>
      <c r="J151"/>
      <c r="K151"/>
      <c r="L151"/>
      <c r="M151"/>
      <c r="N151"/>
      <c r="O151"/>
      <c r="P151"/>
      <c r="Q151"/>
      <c r="R151"/>
      <c r="S151"/>
      <c r="T151"/>
      <c r="U151"/>
      <c r="AB151"/>
      <c r="AC151"/>
    </row>
    <row r="153" spans="1:29" x14ac:dyDescent="0.25">
      <c r="N153" s="5"/>
      <c r="O153" s="5"/>
      <c r="P153" s="5"/>
      <c r="Q153" s="5"/>
      <c r="R153" s="5"/>
      <c r="S153" s="5"/>
      <c r="T153" s="5"/>
      <c r="U153" s="5"/>
    </row>
  </sheetData>
  <mergeCells count="37">
    <mergeCell ref="B50:C50"/>
    <mergeCell ref="C53:D53"/>
    <mergeCell ref="C46:D46"/>
    <mergeCell ref="B2:C2"/>
    <mergeCell ref="B4:L4"/>
    <mergeCell ref="B11:D11"/>
    <mergeCell ref="B24:E24"/>
    <mergeCell ref="B25:E25"/>
    <mergeCell ref="B26:D26"/>
    <mergeCell ref="B29:C29"/>
    <mergeCell ref="C32:D32"/>
    <mergeCell ref="B36:D36"/>
    <mergeCell ref="C39:D39"/>
    <mergeCell ref="B43:D43"/>
    <mergeCell ref="B55:D55"/>
    <mergeCell ref="B60:D60"/>
    <mergeCell ref="B62:D62"/>
    <mergeCell ref="L67:M67"/>
    <mergeCell ref="F69:G69"/>
    <mergeCell ref="H69:I69"/>
    <mergeCell ref="J69:K69"/>
    <mergeCell ref="B64:D64"/>
    <mergeCell ref="B67:E67"/>
    <mergeCell ref="F82:G82"/>
    <mergeCell ref="H82:I82"/>
    <mergeCell ref="J82:K82"/>
    <mergeCell ref="F75:G75"/>
    <mergeCell ref="H75:I75"/>
    <mergeCell ref="J75:K75"/>
    <mergeCell ref="F100:G100"/>
    <mergeCell ref="H100:I100"/>
    <mergeCell ref="J100:K100"/>
    <mergeCell ref="B123:M123"/>
    <mergeCell ref="E125:G125"/>
    <mergeCell ref="H125:I125"/>
    <mergeCell ref="J125:K125"/>
    <mergeCell ref="L125:M125"/>
  </mergeCells>
  <hyperlinks>
    <hyperlink ref="B2" location="Tilakokonaisuus!A1" display="PALAA ETUSIVULLE" xr:uid="{DB670164-159C-D64D-8131-ECCED9899ECD}"/>
    <hyperlink ref="B2:C2" location="'Gårdens info'!A1" display="TILL FRAMSIDAN" xr:uid="{CE66D66B-40E3-F545-87E1-5411CC0111D7}"/>
    <hyperlink ref="B24:E24" location="'Gårdens info'!C97" display="ALLMÄNNA KOSTNADER, rågets andel" xr:uid="{F8CB23E2-52C0-C140-A79E-1733992C3D6F}"/>
    <hyperlink ref="B29:C29" location="Omaisuus!B15" display="RAKENNUKSET" xr:uid="{9E9D4614-F766-7F4B-85E1-A7A4D4E84808}"/>
    <hyperlink ref="B36:D36" location="Omaisuus!B28" display="KONEET JA KALUSTO" xr:uid="{25353B1B-569A-B54A-B7D6-EBCF9BD4C1E3}"/>
    <hyperlink ref="B43:D43" location="Omaisuus!B51" display="PIDEMPIAIKAISET TUOTANTOVÄLINEET" xr:uid="{B9944FD5-5827-5045-8200-053A435F7270}"/>
    <hyperlink ref="B50:C50" location="Omaisuus!B70" display="SALAOJAT" xr:uid="{7308267E-FF28-A14A-8D13-B491450B024D}"/>
    <hyperlink ref="L67" location="'Avomaan mansikka'!B2" display="PALAA SIVUN YLÄLAITAAN" xr:uid="{F25A073E-27AC-4B46-9C78-AD3D5FE802EC}"/>
    <hyperlink ref="L67:M67" location="Höstråg!A1" display="TILL SIDANS BÖRJAN" xr:uid="{706659C5-F5F4-F242-84EA-4A9DE8A33BB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9A91A-5042-844D-A4D8-C7E4D43DE138}">
  <sheetPr>
    <tabColor theme="6" tint="0.39997558519241921"/>
  </sheetPr>
  <dimension ref="A1:AC149"/>
  <sheetViews>
    <sheetView zoomScale="97" zoomScaleNormal="80" workbookViewId="0">
      <selection activeCell="B5" sqref="B5"/>
    </sheetView>
  </sheetViews>
  <sheetFormatPr defaultColWidth="11.44140625" defaultRowHeight="13.2" x14ac:dyDescent="0.25"/>
  <cols>
    <col min="1" max="1" width="5.33203125" style="486"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486" customFormat="1" ht="22.8" x14ac:dyDescent="0.4">
      <c r="B1" s="492" t="s">
        <v>52</v>
      </c>
    </row>
    <row r="2" spans="1:13" ht="27" customHeight="1" x14ac:dyDescent="0.3">
      <c r="B2" s="1094" t="s">
        <v>201</v>
      </c>
      <c r="C2" s="1094"/>
      <c r="F2" s="69"/>
      <c r="G2" s="69"/>
      <c r="H2" s="69"/>
    </row>
    <row r="3" spans="1:13" ht="27" customHeight="1" x14ac:dyDescent="0.3">
      <c r="B3" s="189"/>
      <c r="C3" s="189"/>
    </row>
    <row r="4" spans="1:13" ht="52.2"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857</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info'!G41</f>
        <v>0</v>
      </c>
      <c r="G9" s="119" t="s">
        <v>57</v>
      </c>
      <c r="H9" s="298">
        <f>IF('Gårdens info'!G41&gt;0,(('Gårdens info'!D12*'Gårdens info'!G12*#REF!*#REF!)+('Gårdens info'!D12*'Gårdens info'!G12*#REF!*#REF!)+('Gårdens info'!D12*'Gårdens info'!G12*#REF!*#REF!)+('Gårdens info'!D12*'Gårdens info'!G12*#REF!*#REF!)+('Gårdens info'!D12*'Gårdens info'!G12*#REF!*#REF!)+('Gårdens info'!D12*'Gårdens info'!G12*#REF!*#REF!)+('Gårdens info'!D12*'Gårdens info'!G12*#REF!*#REF!))/(('Gårdens info'!D12*'Gårdens info'!G12)),0)</f>
        <v>0</v>
      </c>
      <c r="I9" s="119" t="s">
        <v>206</v>
      </c>
      <c r="J9" s="229">
        <f>F9*'Gårdens info'!D41</f>
        <v>0</v>
      </c>
      <c r="K9" s="119" t="s">
        <v>858</v>
      </c>
      <c r="L9" s="119"/>
      <c r="M9" s="226"/>
    </row>
    <row r="10" spans="1:13" ht="15" x14ac:dyDescent="0.25">
      <c r="B10" s="227"/>
      <c r="C10" s="119" t="s">
        <v>211</v>
      </c>
      <c r="D10" s="119"/>
      <c r="E10" s="119"/>
      <c r="F10" s="229">
        <f>IF('Gårdens info'!D41&gt;0,Stöd!L14,0)</f>
        <v>0</v>
      </c>
      <c r="G10" s="119" t="s">
        <v>57</v>
      </c>
      <c r="H10" s="298">
        <f>IF('Gårdens info'!G41&gt;0,F10/'Gårdens info'!G41,0)</f>
        <v>0</v>
      </c>
      <c r="I10" s="119" t="s">
        <v>206</v>
      </c>
      <c r="J10" s="229">
        <f>F10*'Gårdens info'!D41</f>
        <v>0</v>
      </c>
      <c r="K10" s="119" t="s">
        <v>858</v>
      </c>
      <c r="L10" s="119"/>
      <c r="M10" s="226"/>
    </row>
    <row r="11" spans="1:13" s="5" customFormat="1" ht="21" customHeight="1" x14ac:dyDescent="0.4">
      <c r="A11" s="487"/>
      <c r="B11" s="1061" t="s">
        <v>214</v>
      </c>
      <c r="C11" s="1043"/>
      <c r="D11" s="1043"/>
      <c r="E11" s="262"/>
      <c r="F11" s="266">
        <f>F9+F10</f>
        <v>0</v>
      </c>
      <c r="G11" s="267" t="s">
        <v>57</v>
      </c>
      <c r="H11" s="268">
        <f>H9+H10</f>
        <v>0</v>
      </c>
      <c r="I11" s="267" t="s">
        <v>206</v>
      </c>
      <c r="J11" s="269">
        <f>J9+J10</f>
        <v>0</v>
      </c>
      <c r="K11" s="267" t="s">
        <v>858</v>
      </c>
      <c r="L11" s="267"/>
      <c r="M11" s="259"/>
    </row>
    <row r="12" spans="1:13" s="5" customFormat="1" ht="21" x14ac:dyDescent="0.4">
      <c r="A12" s="487"/>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816</v>
      </c>
      <c r="C14" s="225"/>
      <c r="D14" s="116"/>
      <c r="E14" s="116"/>
      <c r="F14" s="116"/>
      <c r="G14" s="116"/>
      <c r="H14" s="116"/>
      <c r="I14" s="116"/>
      <c r="J14" s="232"/>
      <c r="K14" s="116"/>
      <c r="L14" s="116"/>
      <c r="M14" s="226"/>
    </row>
    <row r="15" spans="1:13" s="56" customFormat="1" ht="16.95" customHeight="1" x14ac:dyDescent="0.3">
      <c r="A15" s="488"/>
      <c r="B15" s="493"/>
      <c r="C15" s="245"/>
      <c r="D15" s="249"/>
      <c r="E15" s="249"/>
      <c r="F15" s="250"/>
      <c r="G15" s="120"/>
      <c r="H15" s="249"/>
      <c r="I15" s="249"/>
      <c r="J15" s="249"/>
      <c r="K15" s="249"/>
      <c r="L15" s="249"/>
      <c r="M15" s="234"/>
    </row>
    <row r="16" spans="1:13" s="69" customFormat="1" ht="16.95" customHeight="1" x14ac:dyDescent="0.25">
      <c r="A16" s="488"/>
      <c r="B16" s="493"/>
      <c r="C16" s="228" t="s">
        <v>218</v>
      </c>
      <c r="D16" s="236"/>
      <c r="E16" s="236"/>
      <c r="F16" s="247">
        <f>IF('Gårdens info'!D41&gt;0,J71,0)</f>
        <v>0</v>
      </c>
      <c r="G16" s="119" t="s">
        <v>57</v>
      </c>
      <c r="H16" s="238">
        <f>IF('Gårdens info'!G41&gt;0,F16/'Gårdens info'!$G$28,0)</f>
        <v>0</v>
      </c>
      <c r="I16" s="119" t="s">
        <v>206</v>
      </c>
      <c r="J16" s="237">
        <f>F16*'Gårdens info'!$D$41</f>
        <v>0</v>
      </c>
      <c r="K16" s="119" t="s">
        <v>858</v>
      </c>
      <c r="L16" s="236"/>
      <c r="M16" s="239"/>
    </row>
    <row r="17" spans="1:29" s="69" customFormat="1" ht="15" x14ac:dyDescent="0.25">
      <c r="A17" s="488"/>
      <c r="B17" s="235"/>
      <c r="C17" s="228" t="s">
        <v>219</v>
      </c>
      <c r="D17" s="236"/>
      <c r="E17" s="236"/>
      <c r="F17" s="237">
        <f>IF('Gårdens info'!D41&gt;0,J79,0)</f>
        <v>0</v>
      </c>
      <c r="G17" s="119" t="s">
        <v>57</v>
      </c>
      <c r="H17" s="238">
        <f>IF('Gårdens info'!G41&gt;0,F17/'Gårdens info'!$G$28,0)</f>
        <v>0</v>
      </c>
      <c r="I17" s="119" t="s">
        <v>206</v>
      </c>
      <c r="J17" s="237">
        <f>F17*'Gårdens info'!$D$41</f>
        <v>0</v>
      </c>
      <c r="K17" s="119" t="s">
        <v>858</v>
      </c>
      <c r="L17" s="236"/>
      <c r="M17" s="239"/>
    </row>
    <row r="18" spans="1:29" s="69" customFormat="1" ht="15" x14ac:dyDescent="0.25">
      <c r="A18" s="488"/>
      <c r="B18" s="235"/>
      <c r="C18" s="228" t="s">
        <v>220</v>
      </c>
      <c r="D18" s="236"/>
      <c r="E18" s="236"/>
      <c r="F18" s="237">
        <f>IF('Gårdens info'!D41&gt;0,J94,0)</f>
        <v>0</v>
      </c>
      <c r="G18" s="119" t="s">
        <v>57</v>
      </c>
      <c r="H18" s="238">
        <f>IF('Gårdens info'!G41&gt;0,F18/'Gårdens info'!$G$28,0)</f>
        <v>0</v>
      </c>
      <c r="I18" s="119" t="s">
        <v>206</v>
      </c>
      <c r="J18" s="237">
        <f>F18*'Gårdens info'!$D$41</f>
        <v>0</v>
      </c>
      <c r="K18" s="119" t="s">
        <v>858</v>
      </c>
      <c r="L18" s="236"/>
      <c r="M18" s="239"/>
    </row>
    <row r="19" spans="1:29" s="69" customFormat="1" ht="15" x14ac:dyDescent="0.25">
      <c r="A19" s="488"/>
      <c r="B19" s="235"/>
      <c r="C19" s="228" t="s">
        <v>568</v>
      </c>
      <c r="D19" s="236"/>
      <c r="E19" s="236"/>
      <c r="F19" s="237">
        <f>IF('Gårdens info'!D41&gt;0,J102,0)</f>
        <v>0</v>
      </c>
      <c r="G19" s="119" t="s">
        <v>57</v>
      </c>
      <c r="H19" s="238">
        <f>IF('Gårdens info'!G41&gt;0,F19/'Gårdens info'!$G$28,0)</f>
        <v>0</v>
      </c>
      <c r="I19" s="119" t="s">
        <v>206</v>
      </c>
      <c r="J19" s="237">
        <f>F19*'Gårdens info'!$D$41</f>
        <v>0</v>
      </c>
      <c r="K19" s="119" t="s">
        <v>858</v>
      </c>
      <c r="L19" s="236"/>
      <c r="M19" s="239"/>
    </row>
    <row r="20" spans="1:29" s="69" customFormat="1" ht="15" x14ac:dyDescent="0.25">
      <c r="A20" s="488"/>
      <c r="B20" s="235"/>
      <c r="C20" s="228" t="s">
        <v>224</v>
      </c>
      <c r="D20" s="236"/>
      <c r="E20" s="236"/>
      <c r="F20" s="237">
        <f>IF('Gårdens info'!D41&gt;0,J114,0)</f>
        <v>0</v>
      </c>
      <c r="G20" s="119" t="s">
        <v>57</v>
      </c>
      <c r="H20" s="238">
        <f>IF('Gårdens info'!G41&gt;0,F20/'Gårdens info'!$G$28,0)</f>
        <v>0</v>
      </c>
      <c r="I20" s="119" t="s">
        <v>206</v>
      </c>
      <c r="J20" s="237">
        <f>F20*'Gårdens info'!$D$41</f>
        <v>0</v>
      </c>
      <c r="K20" s="119" t="s">
        <v>858</v>
      </c>
      <c r="L20" s="236"/>
      <c r="M20" s="239"/>
    </row>
    <row r="21" spans="1:29" s="69" customFormat="1" ht="15" x14ac:dyDescent="0.25">
      <c r="A21" s="488"/>
      <c r="B21" s="235"/>
      <c r="C21" s="228" t="s">
        <v>817</v>
      </c>
      <c r="D21" s="236"/>
      <c r="E21" s="236"/>
      <c r="F21" s="237">
        <f>IF('Gårdens info'!D41&gt;0,L130,0)</f>
        <v>0</v>
      </c>
      <c r="G21" s="119" t="s">
        <v>57</v>
      </c>
      <c r="H21" s="238">
        <f>IF('Gårdens info'!G41&gt;0,F21/'Gårdens info'!$G$28,0)</f>
        <v>0</v>
      </c>
      <c r="I21" s="119" t="s">
        <v>206</v>
      </c>
      <c r="J21" s="237">
        <f>F21*'Gårdens info'!$D$41</f>
        <v>0</v>
      </c>
      <c r="K21" s="119" t="s">
        <v>858</v>
      </c>
      <c r="L21" s="236"/>
      <c r="M21" s="239"/>
    </row>
    <row r="22" spans="1:29" ht="15.6" x14ac:dyDescent="0.3">
      <c r="B22" s="251"/>
      <c r="C22" s="240" t="s">
        <v>54</v>
      </c>
      <c r="D22" s="241"/>
      <c r="E22" s="241"/>
      <c r="F22" s="242">
        <f>SUM(F16:F21)</f>
        <v>0</v>
      </c>
      <c r="G22" s="243" t="s">
        <v>57</v>
      </c>
      <c r="H22" s="244">
        <f>SUM(H16:H21)</f>
        <v>0</v>
      </c>
      <c r="I22" s="243" t="s">
        <v>206</v>
      </c>
      <c r="J22" s="242">
        <f>SUM(J16:J21)</f>
        <v>0</v>
      </c>
      <c r="K22" s="243" t="s">
        <v>858</v>
      </c>
      <c r="L22" s="241"/>
      <c r="M22" s="252"/>
      <c r="N22" s="69"/>
      <c r="O22" s="69"/>
      <c r="P22" s="69"/>
      <c r="Q22" s="69"/>
      <c r="R22" s="69"/>
      <c r="S22" s="69"/>
      <c r="T22" s="69"/>
      <c r="U22" s="69"/>
    </row>
    <row r="23" spans="1:29" s="56" customFormat="1" ht="17.399999999999999" x14ac:dyDescent="0.3">
      <c r="A23" s="398"/>
      <c r="B23" s="231"/>
      <c r="C23" s="245"/>
      <c r="D23" s="246"/>
      <c r="E23" s="246"/>
      <c r="F23" s="247"/>
      <c r="G23" s="119"/>
      <c r="H23" s="246"/>
      <c r="I23" s="246"/>
      <c r="J23" s="246"/>
      <c r="K23" s="246"/>
      <c r="L23" s="246"/>
      <c r="M23" s="226"/>
      <c r="N23" s="69"/>
      <c r="O23" s="69"/>
      <c r="P23" s="69"/>
      <c r="R23" s="69"/>
      <c r="S23" s="69"/>
      <c r="T23" s="69"/>
      <c r="U23" s="69"/>
      <c r="AB23" s="449" t="str">
        <f>C16</f>
        <v>Frö</v>
      </c>
      <c r="AC23" s="561">
        <f t="shared" ref="AC23:AC28" si="0">F16</f>
        <v>0</v>
      </c>
    </row>
    <row r="24" spans="1:29" s="69" customFormat="1" ht="17.399999999999999" x14ac:dyDescent="0.3">
      <c r="A24" s="488"/>
      <c r="B24" s="1081" t="s">
        <v>859</v>
      </c>
      <c r="C24" s="1082"/>
      <c r="D24" s="1082"/>
      <c r="E24" s="1082"/>
      <c r="F24" s="263">
        <f>IF('Gårdens info'!D41&gt;0,J24/'Gårdens info'!D41,0)</f>
        <v>0</v>
      </c>
      <c r="G24" s="243" t="s">
        <v>57</v>
      </c>
      <c r="H24" s="264">
        <f>IF('Gårdens info'!G41&gt;0,F24/'Gårdens info'!G28,0)</f>
        <v>0</v>
      </c>
      <c r="I24" s="243" t="s">
        <v>206</v>
      </c>
      <c r="J24" s="514">
        <f>'Gårdens info'!G163/'Gårdens info'!D49*'Gårdens info'!D41</f>
        <v>0</v>
      </c>
      <c r="K24" s="243" t="s">
        <v>858</v>
      </c>
      <c r="L24" s="265"/>
      <c r="M24" s="259"/>
      <c r="N24"/>
      <c r="O24"/>
      <c r="P24"/>
      <c r="S24"/>
      <c r="T24"/>
      <c r="U24"/>
      <c r="AB24" s="382" t="str">
        <f>C17</f>
        <v>Gödsel och kalk</v>
      </c>
      <c r="AC24" s="383">
        <f t="shared" si="0"/>
        <v>0</v>
      </c>
    </row>
    <row r="25" spans="1:29" s="69" customFormat="1" ht="17.399999999999999" x14ac:dyDescent="0.3">
      <c r="A25" s="488"/>
      <c r="B25" s="1091" t="s">
        <v>860</v>
      </c>
      <c r="C25" s="1092"/>
      <c r="D25" s="1092"/>
      <c r="E25" s="1092"/>
      <c r="F25" s="263">
        <f>IF('Gårdens info'!D41&gt;0,J25/'Gårdens info'!D41,0)</f>
        <v>0</v>
      </c>
      <c r="G25" s="243" t="s">
        <v>57</v>
      </c>
      <c r="H25" s="264">
        <f>IF('Gårdens info'!G41&gt;0,F25/'Gårdens info'!G41,0)</f>
        <v>0</v>
      </c>
      <c r="I25" s="243" t="s">
        <v>206</v>
      </c>
      <c r="J25" s="514">
        <f>'Gårdens info'!$D$48/'Gårdens info'!$D$49*'Gårdens info'!$G$48*'Gårdens info'!D41</f>
        <v>0</v>
      </c>
      <c r="K25" s="243" t="s">
        <v>858</v>
      </c>
      <c r="L25" s="265"/>
      <c r="M25" s="259"/>
      <c r="N25" s="56"/>
      <c r="O25" s="56"/>
      <c r="P25" s="56"/>
      <c r="S25" s="56"/>
      <c r="T25" s="56"/>
      <c r="U25" s="56"/>
      <c r="AB25" s="382" t="str">
        <f>C18</f>
        <v>IPM Växtskydd</v>
      </c>
      <c r="AC25" s="383">
        <f t="shared" si="0"/>
        <v>0</v>
      </c>
    </row>
    <row r="26" spans="1:29" s="69" customFormat="1" ht="21" x14ac:dyDescent="0.4">
      <c r="A26" s="488"/>
      <c r="B26" s="1061" t="s">
        <v>189</v>
      </c>
      <c r="C26" s="1043"/>
      <c r="D26" s="1043"/>
      <c r="E26" s="262"/>
      <c r="F26" s="266">
        <f>F22+F24+F25</f>
        <v>0</v>
      </c>
      <c r="G26" s="267" t="s">
        <v>57</v>
      </c>
      <c r="H26" s="268">
        <f>H22+H24+H25</f>
        <v>0</v>
      </c>
      <c r="I26" s="267" t="s">
        <v>206</v>
      </c>
      <c r="J26" s="269">
        <f>J22+J24+J25</f>
        <v>0</v>
      </c>
      <c r="K26" s="267" t="s">
        <v>858</v>
      </c>
      <c r="L26" s="267"/>
      <c r="M26" s="259"/>
      <c r="AB26" s="382" t="str">
        <f t="shared" ref="AB26:AB28" si="1">C19</f>
        <v>Maskinhyra och entreprenad</v>
      </c>
      <c r="AC26" s="383">
        <f t="shared" si="0"/>
        <v>0</v>
      </c>
    </row>
    <row r="27" spans="1:29" s="69" customFormat="1" ht="21" x14ac:dyDescent="0.4">
      <c r="A27" s="488"/>
      <c r="B27" s="288"/>
      <c r="C27" s="270"/>
      <c r="D27" s="270"/>
      <c r="E27" s="262"/>
      <c r="F27" s="266"/>
      <c r="G27" s="267"/>
      <c r="H27" s="268"/>
      <c r="I27" s="267"/>
      <c r="J27" s="269"/>
      <c r="K27" s="267"/>
      <c r="L27" s="267"/>
      <c r="M27" s="259"/>
      <c r="AB27" s="382" t="str">
        <f t="shared" si="1"/>
        <v>Energikostnader</v>
      </c>
      <c r="AC27" s="383">
        <f t="shared" si="0"/>
        <v>0</v>
      </c>
    </row>
    <row r="28" spans="1:29" s="69" customFormat="1" ht="21" x14ac:dyDescent="0.4">
      <c r="A28" s="488"/>
      <c r="B28" s="257" t="s">
        <v>861</v>
      </c>
      <c r="C28" s="225"/>
      <c r="D28" s="116"/>
      <c r="E28" s="116"/>
      <c r="F28" s="116"/>
      <c r="G28" s="116"/>
      <c r="H28" s="116"/>
      <c r="I28" s="116"/>
      <c r="J28" s="232"/>
      <c r="K28" s="116"/>
      <c r="L28" s="116"/>
      <c r="M28" s="226"/>
      <c r="AB28" s="382" t="str">
        <f t="shared" si="1"/>
        <v xml:space="preserve">Anställd arbetskraft </v>
      </c>
      <c r="AC28" s="383">
        <f t="shared" si="0"/>
        <v>0</v>
      </c>
    </row>
    <row r="29" spans="1:29" s="69" customFormat="1" ht="21" x14ac:dyDescent="0.4">
      <c r="A29" s="488"/>
      <c r="B29" s="1081" t="s">
        <v>69</v>
      </c>
      <c r="C29" s="1082"/>
      <c r="D29" s="270"/>
      <c r="E29" s="262"/>
      <c r="F29" s="266"/>
      <c r="G29" s="267"/>
      <c r="H29" s="268"/>
      <c r="I29" s="267"/>
      <c r="J29" s="269"/>
      <c r="K29" s="267"/>
      <c r="L29" s="267"/>
      <c r="M29" s="259"/>
      <c r="AB29" s="384" t="s">
        <v>538</v>
      </c>
      <c r="AC29" s="384">
        <f>F24</f>
        <v>0</v>
      </c>
    </row>
    <row r="30" spans="1:29" s="69" customFormat="1" ht="21" x14ac:dyDescent="0.4">
      <c r="A30" s="488"/>
      <c r="B30" s="287"/>
      <c r="C30" s="274" t="s">
        <v>229</v>
      </c>
      <c r="D30" s="270"/>
      <c r="E30" s="262"/>
      <c r="F30" s="276">
        <f>IF('Gårdens info'!$D$41&gt;0,J30/'Gårdens info'!$D$41,0)</f>
        <v>0</v>
      </c>
      <c r="G30" s="119" t="s">
        <v>57</v>
      </c>
      <c r="H30" s="277">
        <f>IF('Gårdens info'!G41&gt;0,F30/'Gårdens info'!$G$28,0)</f>
        <v>0</v>
      </c>
      <c r="I30" s="119" t="s">
        <v>206</v>
      </c>
      <c r="J30" s="237">
        <f>Egendom!BG25</f>
        <v>0</v>
      </c>
      <c r="K30" s="119" t="s">
        <v>858</v>
      </c>
      <c r="L30" s="267"/>
      <c r="M30" s="259"/>
      <c r="AB30" s="382" t="s">
        <v>482</v>
      </c>
      <c r="AC30" s="384">
        <f>F25</f>
        <v>0</v>
      </c>
    </row>
    <row r="31" spans="1:29" s="192" customFormat="1" ht="21" x14ac:dyDescent="0.4">
      <c r="A31" s="489"/>
      <c r="B31" s="287"/>
      <c r="C31" s="274" t="s">
        <v>230</v>
      </c>
      <c r="D31" s="270"/>
      <c r="E31" s="262"/>
      <c r="F31" s="276">
        <f>IF('Gårdens info'!$D$41&gt;0,J31/'Gårdens info'!$D$41,0)</f>
        <v>0</v>
      </c>
      <c r="G31" s="119" t="s">
        <v>57</v>
      </c>
      <c r="H31" s="277">
        <f>IF('Gårdens info'!G41&gt;0,F31/'Gårdens info'!$G$28,0)</f>
        <v>0</v>
      </c>
      <c r="I31" s="119" t="s">
        <v>206</v>
      </c>
      <c r="J31" s="237">
        <f>Egendom!CE25</f>
        <v>0</v>
      </c>
      <c r="K31" s="119" t="s">
        <v>858</v>
      </c>
      <c r="L31" s="267"/>
      <c r="M31" s="259"/>
      <c r="N31" s="69"/>
      <c r="O31" s="69"/>
      <c r="P31" s="69"/>
      <c r="S31" s="69"/>
      <c r="T31" s="69"/>
      <c r="U31" s="69"/>
      <c r="AB31" s="382" t="s">
        <v>235</v>
      </c>
      <c r="AC31" s="385">
        <f>F34</f>
        <v>0</v>
      </c>
    </row>
    <row r="32" spans="1:29" ht="17.399999999999999" customHeight="1" x14ac:dyDescent="0.3">
      <c r="B32" s="287"/>
      <c r="C32" s="1083" t="s">
        <v>232</v>
      </c>
      <c r="D32" s="1083"/>
      <c r="E32" s="262"/>
      <c r="F32" s="276">
        <f>IF('Gårdens info'!$D$41&gt;0,J32/'Gårdens info'!$D$41,0)</f>
        <v>0</v>
      </c>
      <c r="G32" s="119" t="s">
        <v>57</v>
      </c>
      <c r="H32" s="277">
        <f>IF('Gårdens info'!G41&gt;0,F32/'Gårdens info'!$G$28,0)</f>
        <v>0</v>
      </c>
      <c r="I32" s="119" t="s">
        <v>206</v>
      </c>
      <c r="J32" s="237">
        <f>Egendom!DC25</f>
        <v>0</v>
      </c>
      <c r="K32" s="119" t="s">
        <v>858</v>
      </c>
      <c r="L32" s="267"/>
      <c r="M32" s="259"/>
      <c r="N32" s="69"/>
      <c r="O32" s="69"/>
      <c r="P32" s="69"/>
      <c r="S32" s="69"/>
      <c r="T32" s="69"/>
      <c r="U32" s="69"/>
      <c r="AB32" s="382" t="s">
        <v>236</v>
      </c>
      <c r="AC32" s="386">
        <f>F41</f>
        <v>0</v>
      </c>
    </row>
    <row r="33" spans="1:29" ht="21" x14ac:dyDescent="0.4">
      <c r="B33" s="287"/>
      <c r="C33" s="274" t="s">
        <v>234</v>
      </c>
      <c r="D33" s="270"/>
      <c r="E33" s="262"/>
      <c r="F33" s="276">
        <f>IF('Gårdens info'!$D$41&gt;0,J33/'Gårdens info'!$D$41,0)</f>
        <v>0</v>
      </c>
      <c r="G33" s="119" t="s">
        <v>57</v>
      </c>
      <c r="H33" s="277">
        <f>IF('Gårdens info'!G41&gt;0,F33/'Gårdens info'!$G$28,0)</f>
        <v>0</v>
      </c>
      <c r="I33" s="119" t="s">
        <v>206</v>
      </c>
      <c r="J33" s="237">
        <f>Egendom!EA25</f>
        <v>0</v>
      </c>
      <c r="K33" s="119" t="s">
        <v>858</v>
      </c>
      <c r="L33" s="267"/>
      <c r="M33" s="259"/>
      <c r="N33" s="192"/>
      <c r="O33" s="192"/>
      <c r="P33" s="192"/>
      <c r="S33" s="192"/>
      <c r="T33" s="192"/>
      <c r="U33" s="192"/>
      <c r="AB33" s="382" t="s">
        <v>237</v>
      </c>
      <c r="AC33" s="386">
        <f>F48</f>
        <v>0</v>
      </c>
    </row>
    <row r="34" spans="1:29" ht="20.399999999999999" x14ac:dyDescent="0.35">
      <c r="B34" s="289"/>
      <c r="C34" s="278" t="s">
        <v>54</v>
      </c>
      <c r="D34" s="279"/>
      <c r="E34" s="262"/>
      <c r="F34" s="280">
        <f>SUM(F30:F33)</f>
        <v>0</v>
      </c>
      <c r="G34" s="119" t="s">
        <v>57</v>
      </c>
      <c r="H34" s="285">
        <f t="shared" ref="H34:J34" si="2">SUM(H30:H33)</f>
        <v>0</v>
      </c>
      <c r="I34" s="119" t="s">
        <v>206</v>
      </c>
      <c r="J34" s="280">
        <f t="shared" si="2"/>
        <v>0</v>
      </c>
      <c r="K34" s="119" t="s">
        <v>858</v>
      </c>
      <c r="L34" s="281"/>
      <c r="M34" s="259"/>
      <c r="AB34" s="382" t="s">
        <v>141</v>
      </c>
      <c r="AC34" s="386">
        <f>F54</f>
        <v>0</v>
      </c>
    </row>
    <row r="35" spans="1:29" s="69" customFormat="1" ht="21" x14ac:dyDescent="0.4">
      <c r="A35" s="488"/>
      <c r="B35" s="287"/>
      <c r="C35" s="274"/>
      <c r="D35" s="270"/>
      <c r="E35" s="262"/>
      <c r="F35" s="276"/>
      <c r="G35" s="119"/>
      <c r="H35" s="277"/>
      <c r="I35" s="119"/>
      <c r="J35" s="237"/>
      <c r="K35" s="119"/>
      <c r="L35" s="267"/>
      <c r="M35" s="259"/>
      <c r="N35"/>
      <c r="O35"/>
      <c r="P35"/>
      <c r="S35"/>
      <c r="T35"/>
      <c r="U35"/>
      <c r="AB35" s="382" t="s">
        <v>192</v>
      </c>
      <c r="AC35" s="384">
        <f>F58</f>
        <v>0</v>
      </c>
    </row>
    <row r="36" spans="1:29" s="69" customFormat="1" ht="17.399999999999999" x14ac:dyDescent="0.3">
      <c r="A36" s="488"/>
      <c r="B36" s="1081" t="s">
        <v>83</v>
      </c>
      <c r="C36" s="1082"/>
      <c r="D36" s="1082"/>
      <c r="E36" s="262"/>
      <c r="F36" s="276"/>
      <c r="G36" s="119"/>
      <c r="H36" s="277"/>
      <c r="I36" s="119"/>
      <c r="J36" s="237"/>
      <c r="K36" s="119"/>
      <c r="L36" s="267"/>
      <c r="M36" s="259"/>
      <c r="N36"/>
      <c r="O36"/>
      <c r="P36"/>
      <c r="S36"/>
      <c r="T36"/>
      <c r="U36"/>
      <c r="AB36" s="5"/>
      <c r="AC36" s="5"/>
    </row>
    <row r="37" spans="1:29" s="69" customFormat="1" ht="21" x14ac:dyDescent="0.4">
      <c r="A37" s="488"/>
      <c r="B37" s="287"/>
      <c r="C37" s="274" t="s">
        <v>229</v>
      </c>
      <c r="D37" s="270"/>
      <c r="E37" s="262"/>
      <c r="F37" s="276">
        <f>IF('Gårdens info'!$D$41&gt;0,J37/'Gårdens info'!$D$41,0)</f>
        <v>0</v>
      </c>
      <c r="G37" s="119" t="s">
        <v>57</v>
      </c>
      <c r="H37" s="277">
        <f>IF('Gårdens info'!G41&gt;0,F37/'Gårdens info'!$G$28,0)</f>
        <v>0</v>
      </c>
      <c r="I37" s="119" t="s">
        <v>206</v>
      </c>
      <c r="J37" s="237">
        <f>Egendom!BG61</f>
        <v>0</v>
      </c>
      <c r="K37" s="119" t="s">
        <v>858</v>
      </c>
      <c r="L37" s="267"/>
      <c r="M37" s="259"/>
      <c r="AB37" s="5"/>
      <c r="AC37" s="5"/>
    </row>
    <row r="38" spans="1:29" s="5" customFormat="1" ht="21" x14ac:dyDescent="0.4">
      <c r="A38" s="487"/>
      <c r="B38" s="287"/>
      <c r="C38" s="274" t="s">
        <v>230</v>
      </c>
      <c r="D38" s="270"/>
      <c r="E38" s="262"/>
      <c r="F38" s="276">
        <f>IF('Gårdens info'!$D$41&gt;0,J38/'Gårdens info'!$D$41,0)</f>
        <v>0</v>
      </c>
      <c r="G38" s="119" t="s">
        <v>57</v>
      </c>
      <c r="H38" s="277">
        <f>IF('Gårdens info'!G41&gt;0,F38/'Gårdens info'!$G$28,0)</f>
        <v>0</v>
      </c>
      <c r="I38" s="119" t="s">
        <v>206</v>
      </c>
      <c r="J38" s="237">
        <f>Egendom!CE61</f>
        <v>0</v>
      </c>
      <c r="K38" s="119" t="s">
        <v>858</v>
      </c>
      <c r="L38" s="267"/>
      <c r="M38" s="259"/>
      <c r="N38" s="69"/>
      <c r="O38" s="69"/>
      <c r="P38" s="69"/>
      <c r="Q38" s="69"/>
      <c r="R38" s="69"/>
      <c r="S38" s="69"/>
      <c r="T38" s="69"/>
      <c r="U38" s="69"/>
    </row>
    <row r="39" spans="1:29" s="5" customFormat="1" ht="17.399999999999999" customHeight="1" x14ac:dyDescent="0.3">
      <c r="A39" s="487"/>
      <c r="B39" s="287"/>
      <c r="C39" s="1083" t="s">
        <v>232</v>
      </c>
      <c r="D39" s="1083"/>
      <c r="E39" s="262"/>
      <c r="F39" s="276">
        <f>IF('Gårdens info'!$D$41&gt;0,J39/'Gårdens info'!$D$41,0)</f>
        <v>0</v>
      </c>
      <c r="G39" s="119" t="s">
        <v>57</v>
      </c>
      <c r="H39" s="277">
        <f>IF('Gårdens info'!G41&gt;0,F39/'Gårdens info'!$G$28,0)</f>
        <v>0</v>
      </c>
      <c r="I39" s="119" t="s">
        <v>206</v>
      </c>
      <c r="J39" s="237">
        <f>Egendom!DC61</f>
        <v>0</v>
      </c>
      <c r="K39" s="119" t="s">
        <v>858</v>
      </c>
      <c r="L39" s="267"/>
      <c r="M39" s="259"/>
      <c r="N39" s="69"/>
      <c r="O39" s="69"/>
      <c r="P39" s="69"/>
      <c r="Q39" s="69"/>
      <c r="R39" s="69"/>
      <c r="S39" s="69"/>
      <c r="T39" s="69"/>
      <c r="U39" s="69"/>
    </row>
    <row r="40" spans="1:29" s="5" customFormat="1" ht="21" x14ac:dyDescent="0.4">
      <c r="A40" s="487"/>
      <c r="B40" s="287"/>
      <c r="C40" s="274" t="s">
        <v>234</v>
      </c>
      <c r="D40" s="270"/>
      <c r="E40" s="262"/>
      <c r="F40" s="276">
        <f>IF('Gårdens info'!$D$41&gt;0,J40/'Gårdens info'!$D$41,0)</f>
        <v>0</v>
      </c>
      <c r="G40" s="119" t="s">
        <v>57</v>
      </c>
      <c r="H40" s="277">
        <f>IF('Gårdens info'!G41&gt;0,F40/'Gårdens info'!$G$28,0)</f>
        <v>0</v>
      </c>
      <c r="I40" s="119" t="s">
        <v>206</v>
      </c>
      <c r="J40" s="237">
        <f>Egendom!EA61</f>
        <v>0</v>
      </c>
      <c r="K40" s="119" t="s">
        <v>858</v>
      </c>
      <c r="L40" s="267"/>
      <c r="M40" s="259"/>
    </row>
    <row r="41" spans="1:29" s="5" customFormat="1" ht="20.399999999999999" x14ac:dyDescent="0.35">
      <c r="A41" s="487"/>
      <c r="B41" s="289"/>
      <c r="C41" s="278" t="s">
        <v>54</v>
      </c>
      <c r="D41" s="279"/>
      <c r="E41" s="262"/>
      <c r="F41" s="280">
        <f>SUM(F37:F40)</f>
        <v>0</v>
      </c>
      <c r="G41" s="119" t="s">
        <v>57</v>
      </c>
      <c r="H41" s="285">
        <f t="shared" ref="H41:J41" si="3">SUM(H37:H40)</f>
        <v>0</v>
      </c>
      <c r="I41" s="119" t="s">
        <v>206</v>
      </c>
      <c r="J41" s="280">
        <f t="shared" si="3"/>
        <v>0</v>
      </c>
      <c r="K41" s="119" t="s">
        <v>858</v>
      </c>
      <c r="L41" s="281"/>
      <c r="M41" s="259"/>
    </row>
    <row r="42" spans="1:29" s="5" customFormat="1" ht="21" x14ac:dyDescent="0.4">
      <c r="A42" s="487"/>
      <c r="B42" s="287"/>
      <c r="C42" s="274"/>
      <c r="D42" s="270"/>
      <c r="E42" s="262"/>
      <c r="F42" s="276"/>
      <c r="G42" s="119"/>
      <c r="H42" s="277"/>
      <c r="I42" s="119"/>
      <c r="J42" s="237"/>
      <c r="K42" s="119"/>
      <c r="L42" s="267"/>
      <c r="M42" s="259"/>
      <c r="AB42"/>
      <c r="AC42"/>
    </row>
    <row r="43" spans="1:29" s="5" customFormat="1" ht="43.2" customHeight="1" x14ac:dyDescent="0.3">
      <c r="A43" s="487"/>
      <c r="B43" s="1081" t="s">
        <v>355</v>
      </c>
      <c r="C43" s="1082"/>
      <c r="D43" s="1082"/>
      <c r="E43" s="262"/>
      <c r="F43" s="276"/>
      <c r="G43" s="119"/>
      <c r="H43" s="277"/>
      <c r="I43" s="119"/>
      <c r="J43" s="237"/>
      <c r="K43" s="119"/>
      <c r="L43" s="267"/>
      <c r="M43" s="259"/>
    </row>
    <row r="44" spans="1:29" ht="21" x14ac:dyDescent="0.4">
      <c r="B44" s="287"/>
      <c r="C44" s="274" t="s">
        <v>229</v>
      </c>
      <c r="D44" s="270"/>
      <c r="E44" s="262"/>
      <c r="F44" s="276">
        <f>IF('Gårdens info'!$D$41&gt;0,J44/'Gårdens info'!$D$41,0)</f>
        <v>0</v>
      </c>
      <c r="G44" s="119" t="s">
        <v>57</v>
      </c>
      <c r="H44" s="277">
        <f>IF('Gårdens info'!G41&gt;0,F44/'Gårdens info'!$G$28,0)</f>
        <v>0</v>
      </c>
      <c r="I44" s="119" t="s">
        <v>206</v>
      </c>
      <c r="J44" s="237">
        <f>Egendom!BG90</f>
        <v>0</v>
      </c>
      <c r="K44" s="119" t="s">
        <v>858</v>
      </c>
      <c r="L44" s="267"/>
      <c r="M44" s="259"/>
      <c r="N44" s="5"/>
      <c r="O44" s="5"/>
      <c r="P44" s="5"/>
      <c r="Q44" s="5"/>
      <c r="R44" s="5"/>
      <c r="S44" s="5"/>
      <c r="T44" s="5"/>
      <c r="U44" s="5"/>
      <c r="AB44" s="5"/>
      <c r="AC44" s="5"/>
    </row>
    <row r="45" spans="1:29" s="5" customFormat="1" ht="21" x14ac:dyDescent="0.4">
      <c r="A45" s="487"/>
      <c r="B45" s="287"/>
      <c r="C45" s="274" t="s">
        <v>230</v>
      </c>
      <c r="D45" s="270"/>
      <c r="E45" s="262"/>
      <c r="F45" s="276">
        <f>IF('Gårdens info'!$D$41&gt;0,J45/'Gårdens info'!$D$41,0)</f>
        <v>0</v>
      </c>
      <c r="G45" s="119" t="s">
        <v>57</v>
      </c>
      <c r="H45" s="277">
        <f>IF('Gårdens info'!G41&gt;0,F45/'Gårdens info'!$G$28,0)</f>
        <v>0</v>
      </c>
      <c r="I45" s="119" t="s">
        <v>206</v>
      </c>
      <c r="J45" s="237">
        <f>Egendom!CE90</f>
        <v>0</v>
      </c>
      <c r="K45" s="119" t="s">
        <v>858</v>
      </c>
      <c r="L45" s="267"/>
      <c r="M45" s="259"/>
    </row>
    <row r="46" spans="1:29" s="5" customFormat="1" ht="17.399999999999999" customHeight="1" x14ac:dyDescent="0.3">
      <c r="A46" s="487"/>
      <c r="B46" s="287"/>
      <c r="C46" s="1083" t="s">
        <v>232</v>
      </c>
      <c r="D46" s="1083"/>
      <c r="E46" s="262"/>
      <c r="F46" s="276">
        <f>IF('Gårdens info'!$D$41&gt;0,J46/'Gårdens info'!$D$41,0)</f>
        <v>0</v>
      </c>
      <c r="G46" s="119" t="s">
        <v>57</v>
      </c>
      <c r="H46" s="277">
        <f>IF('Gårdens info'!G41&gt;0,F46/'Gårdens info'!$G$28,0)</f>
        <v>0</v>
      </c>
      <c r="I46" s="119" t="s">
        <v>206</v>
      </c>
      <c r="J46" s="237">
        <f>Egendom!DC90</f>
        <v>0</v>
      </c>
      <c r="K46" s="119" t="s">
        <v>858</v>
      </c>
      <c r="L46" s="267"/>
      <c r="M46" s="259"/>
      <c r="N46"/>
      <c r="O46"/>
      <c r="P46"/>
      <c r="Q46"/>
      <c r="R46"/>
      <c r="S46"/>
      <c r="T46"/>
      <c r="U46"/>
    </row>
    <row r="47" spans="1:29" s="5" customFormat="1" ht="21" x14ac:dyDescent="0.4">
      <c r="A47" s="487"/>
      <c r="B47" s="287"/>
      <c r="C47" s="274" t="s">
        <v>234</v>
      </c>
      <c r="D47" s="270"/>
      <c r="E47" s="262"/>
      <c r="F47" s="276">
        <f>IF('Gårdens info'!$D$41&gt;0,J47/'Gårdens info'!$D$41,0)</f>
        <v>0</v>
      </c>
      <c r="G47" s="119" t="s">
        <v>57</v>
      </c>
      <c r="H47" s="277">
        <f>IF('Gårdens info'!G41&gt;0,F47/'Gårdens info'!$G$28,0)</f>
        <v>0</v>
      </c>
      <c r="I47" s="119" t="s">
        <v>206</v>
      </c>
      <c r="J47" s="237">
        <f>Egendom!EA90</f>
        <v>0</v>
      </c>
      <c r="K47" s="119" t="s">
        <v>858</v>
      </c>
      <c r="L47" s="267"/>
      <c r="M47" s="259"/>
    </row>
    <row r="48" spans="1:29" s="5" customFormat="1" ht="20.399999999999999" x14ac:dyDescent="0.35">
      <c r="A48" s="487"/>
      <c r="B48" s="289"/>
      <c r="C48" s="278" t="s">
        <v>54</v>
      </c>
      <c r="D48" s="279"/>
      <c r="E48" s="262"/>
      <c r="F48" s="280">
        <f>SUM(F44:F47)</f>
        <v>0</v>
      </c>
      <c r="G48" s="119" t="s">
        <v>57</v>
      </c>
      <c r="H48" s="285">
        <f t="shared" ref="H48:J48" si="4">SUM(H44:H47)</f>
        <v>0</v>
      </c>
      <c r="I48" s="119" t="s">
        <v>206</v>
      </c>
      <c r="J48" s="280">
        <f t="shared" si="4"/>
        <v>0</v>
      </c>
      <c r="K48" s="119" t="s">
        <v>858</v>
      </c>
      <c r="L48" s="281"/>
      <c r="M48" s="259"/>
    </row>
    <row r="49" spans="1:29" s="5" customFormat="1" ht="21" x14ac:dyDescent="0.4">
      <c r="A49" s="487"/>
      <c r="B49" s="287"/>
      <c r="C49" s="274"/>
      <c r="D49" s="270"/>
      <c r="E49" s="262"/>
      <c r="F49" s="276"/>
      <c r="G49" s="119"/>
      <c r="H49" s="277"/>
      <c r="I49" s="119"/>
      <c r="J49" s="237"/>
      <c r="K49" s="119"/>
      <c r="L49" s="267"/>
      <c r="M49" s="259"/>
    </row>
    <row r="50" spans="1:29" s="5" customFormat="1" ht="21" x14ac:dyDescent="0.4">
      <c r="A50" s="487"/>
      <c r="B50" s="1084" t="s">
        <v>139</v>
      </c>
      <c r="C50" s="1085"/>
      <c r="D50" s="270"/>
      <c r="E50" s="262"/>
      <c r="F50" s="276"/>
      <c r="G50" s="119"/>
      <c r="H50" s="277"/>
      <c r="I50" s="119"/>
      <c r="J50" s="237"/>
      <c r="K50" s="119"/>
      <c r="L50" s="267"/>
      <c r="M50" s="259"/>
    </row>
    <row r="51" spans="1:29" s="5" customFormat="1" ht="21" x14ac:dyDescent="0.4">
      <c r="A51" s="487"/>
      <c r="B51" s="287"/>
      <c r="C51" s="274" t="s">
        <v>229</v>
      </c>
      <c r="D51" s="270"/>
      <c r="E51" s="262"/>
      <c r="F51" s="276">
        <f>IF('Gårdens info'!$D$41&gt;0,J51/'Gårdens info'!$D$41,0)</f>
        <v>0</v>
      </c>
      <c r="G51" s="119" t="s">
        <v>57</v>
      </c>
      <c r="H51" s="277">
        <f>IF('Gårdens info'!G41&gt;0,F51/'Gårdens info'!$G$28,0)</f>
        <v>0</v>
      </c>
      <c r="I51" s="119" t="s">
        <v>206</v>
      </c>
      <c r="J51" s="237">
        <f>Egendom!BG93</f>
        <v>0</v>
      </c>
      <c r="K51" s="119" t="s">
        <v>858</v>
      </c>
      <c r="L51" s="267"/>
      <c r="M51" s="259"/>
    </row>
    <row r="52" spans="1:29" s="5" customFormat="1" ht="19.95" customHeight="1" x14ac:dyDescent="0.4">
      <c r="A52" s="487"/>
      <c r="B52" s="287"/>
      <c r="C52" s="274" t="s">
        <v>230</v>
      </c>
      <c r="D52" s="270"/>
      <c r="E52" s="262"/>
      <c r="F52" s="276">
        <f>IF('Gårdens info'!$D$41&gt;0,J52/'Gårdens info'!$D$41,0)</f>
        <v>0</v>
      </c>
      <c r="G52" s="119" t="s">
        <v>57</v>
      </c>
      <c r="H52" s="277">
        <f>IF('Gårdens info'!G41&gt;0,F52/'Gårdens info'!$G$28,0)</f>
        <v>0</v>
      </c>
      <c r="I52" s="119" t="s">
        <v>206</v>
      </c>
      <c r="J52" s="237">
        <f>Egendom!CE93</f>
        <v>0</v>
      </c>
      <c r="K52" s="119" t="s">
        <v>858</v>
      </c>
      <c r="L52" s="267"/>
      <c r="M52" s="259"/>
    </row>
    <row r="53" spans="1:29" s="5" customFormat="1" ht="17.399999999999999" customHeight="1" x14ac:dyDescent="0.3">
      <c r="A53" s="487"/>
      <c r="B53" s="287"/>
      <c r="C53" s="1083" t="s">
        <v>232</v>
      </c>
      <c r="D53" s="1083"/>
      <c r="E53" s="262"/>
      <c r="F53" s="276">
        <f>IF('Gårdens info'!$D$41&gt;0,J53/'Gårdens info'!$D$41,0)</f>
        <v>0</v>
      </c>
      <c r="G53" s="119" t="s">
        <v>57</v>
      </c>
      <c r="H53" s="277">
        <f>IF('Gårdens info'!G41&gt;0,F53/'Gårdens info'!$G$28,0)</f>
        <v>0</v>
      </c>
      <c r="I53" s="119" t="s">
        <v>206</v>
      </c>
      <c r="J53" s="237">
        <f>Egendom!DC93</f>
        <v>0</v>
      </c>
      <c r="K53" s="119" t="s">
        <v>858</v>
      </c>
      <c r="L53" s="267"/>
      <c r="M53" s="259"/>
    </row>
    <row r="54" spans="1:29" s="5" customFormat="1" ht="15.6" x14ac:dyDescent="0.3">
      <c r="A54" s="487"/>
      <c r="B54" s="286"/>
      <c r="C54" s="261" t="s">
        <v>54</v>
      </c>
      <c r="D54" s="261"/>
      <c r="E54" s="261"/>
      <c r="F54" s="280">
        <f>SUM(F51:F53)</f>
        <v>0</v>
      </c>
      <c r="G54" s="119" t="s">
        <v>57</v>
      </c>
      <c r="H54" s="285">
        <f t="shared" ref="H54:J54" si="5">SUM(H51:H53)</f>
        <v>0</v>
      </c>
      <c r="I54" s="119" t="s">
        <v>206</v>
      </c>
      <c r="J54" s="280">
        <f t="shared" si="5"/>
        <v>0</v>
      </c>
      <c r="K54" s="119" t="s">
        <v>858</v>
      </c>
      <c r="L54" s="284"/>
      <c r="M54" s="290"/>
    </row>
    <row r="55" spans="1:29" s="5" customFormat="1" ht="21" customHeight="1" x14ac:dyDescent="0.4">
      <c r="A55" s="487"/>
      <c r="B55" s="1061" t="s">
        <v>191</v>
      </c>
      <c r="C55" s="1043"/>
      <c r="D55" s="1043"/>
      <c r="E55" s="262"/>
      <c r="F55" s="266">
        <f>F34+F41+F48+F54</f>
        <v>0</v>
      </c>
      <c r="G55" s="267" t="s">
        <v>57</v>
      </c>
      <c r="H55" s="268">
        <f>H34+H41+H48+H54</f>
        <v>0</v>
      </c>
      <c r="I55" s="267" t="s">
        <v>206</v>
      </c>
      <c r="J55" s="269">
        <f>J34+J41+J48+J54</f>
        <v>0</v>
      </c>
      <c r="K55" s="267" t="s">
        <v>858</v>
      </c>
      <c r="L55" s="267"/>
      <c r="M55" s="259"/>
    </row>
    <row r="56" spans="1:29" s="5" customFormat="1" ht="15.6" x14ac:dyDescent="0.3">
      <c r="A56" s="487"/>
      <c r="B56" s="286"/>
      <c r="C56" s="262"/>
      <c r="D56" s="262"/>
      <c r="E56" s="262"/>
      <c r="F56" s="263"/>
      <c r="G56" s="243"/>
      <c r="H56" s="264"/>
      <c r="I56" s="243"/>
      <c r="J56" s="258"/>
      <c r="K56" s="243"/>
      <c r="L56" s="265"/>
      <c r="M56" s="259"/>
    </row>
    <row r="57" spans="1:29" s="5" customFormat="1" ht="21" x14ac:dyDescent="0.4">
      <c r="A57" s="487"/>
      <c r="B57" s="257" t="s">
        <v>192</v>
      </c>
      <c r="C57" s="262"/>
      <c r="D57" s="262"/>
      <c r="E57" s="262"/>
      <c r="F57" s="263"/>
      <c r="G57" s="243"/>
      <c r="H57" s="264"/>
      <c r="I57" s="243"/>
      <c r="J57" s="258"/>
      <c r="K57" s="243"/>
      <c r="L57" s="265"/>
      <c r="M57" s="259"/>
    </row>
    <row r="58" spans="1:29" s="5" customFormat="1" ht="15" x14ac:dyDescent="0.25">
      <c r="A58" s="487"/>
      <c r="B58" s="235"/>
      <c r="C58" s="228" t="s">
        <v>192</v>
      </c>
      <c r="D58" s="236"/>
      <c r="E58" s="236"/>
      <c r="F58" s="237">
        <f>IF('Gårdens info'!D41&gt;0,H130,0)</f>
        <v>0</v>
      </c>
      <c r="G58" s="119" t="s">
        <v>57</v>
      </c>
      <c r="H58" s="238">
        <f>IF('Gårdens info'!G41&gt;0,F58/'Gårdens info'!$G$28,0)</f>
        <v>0</v>
      </c>
      <c r="I58" s="119" t="s">
        <v>206</v>
      </c>
      <c r="J58" s="237">
        <f>F58*'Gårdens info'!$D$41</f>
        <v>0</v>
      </c>
      <c r="K58" s="119" t="s">
        <v>858</v>
      </c>
      <c r="L58" s="236"/>
      <c r="M58" s="239"/>
    </row>
    <row r="59" spans="1:29" s="5" customFormat="1" ht="17.399999999999999" x14ac:dyDescent="0.3">
      <c r="A59" s="487"/>
      <c r="B59" s="248"/>
      <c r="C59" s="245"/>
      <c r="D59" s="249"/>
      <c r="E59" s="249"/>
      <c r="F59" s="250"/>
      <c r="G59" s="120"/>
      <c r="H59" s="249"/>
      <c r="I59" s="249"/>
      <c r="J59" s="249"/>
      <c r="K59" s="249"/>
      <c r="L59" s="249"/>
      <c r="M59" s="234"/>
    </row>
    <row r="60" spans="1:29" s="5" customFormat="1" ht="21" customHeight="1" x14ac:dyDescent="0.4">
      <c r="A60" s="487"/>
      <c r="B60" s="1061" t="s">
        <v>192</v>
      </c>
      <c r="C60" s="1043"/>
      <c r="D60" s="1043"/>
      <c r="E60" s="262"/>
      <c r="F60" s="266">
        <f>F58</f>
        <v>0</v>
      </c>
      <c r="G60" s="267" t="s">
        <v>57</v>
      </c>
      <c r="H60" s="268">
        <f>H58</f>
        <v>0</v>
      </c>
      <c r="I60" s="267" t="s">
        <v>206</v>
      </c>
      <c r="J60" s="269">
        <f>J58</f>
        <v>0</v>
      </c>
      <c r="K60" s="267" t="s">
        <v>858</v>
      </c>
      <c r="L60" s="267"/>
      <c r="M60" s="259"/>
    </row>
    <row r="61" spans="1:29" s="5" customFormat="1" ht="21" x14ac:dyDescent="0.4">
      <c r="A61" s="487"/>
      <c r="B61" s="288"/>
      <c r="C61" s="270"/>
      <c r="D61" s="270"/>
      <c r="E61" s="262"/>
      <c r="F61" s="266"/>
      <c r="G61" s="267"/>
      <c r="H61" s="268"/>
      <c r="I61" s="267"/>
      <c r="J61" s="269"/>
      <c r="K61" s="267"/>
      <c r="L61" s="267"/>
      <c r="M61" s="259"/>
    </row>
    <row r="62" spans="1:29" s="5" customFormat="1" ht="21" customHeight="1" x14ac:dyDescent="0.4">
      <c r="A62" s="487"/>
      <c r="B62" s="1061" t="s">
        <v>822</v>
      </c>
      <c r="C62" s="1043"/>
      <c r="D62" s="1043"/>
      <c r="E62" s="262"/>
      <c r="F62" s="266">
        <f>F26+F55+F60</f>
        <v>0</v>
      </c>
      <c r="G62" s="267" t="s">
        <v>57</v>
      </c>
      <c r="H62" s="572">
        <f>H26+H55+H60</f>
        <v>0</v>
      </c>
      <c r="I62" s="267" t="s">
        <v>206</v>
      </c>
      <c r="J62" s="266">
        <f>J26+J55+J60</f>
        <v>0</v>
      </c>
      <c r="K62" s="267" t="s">
        <v>858</v>
      </c>
      <c r="L62" s="267"/>
      <c r="M62" s="259"/>
    </row>
    <row r="63" spans="1:29" s="5" customFormat="1" ht="21" x14ac:dyDescent="0.4">
      <c r="A63" s="487"/>
      <c r="B63" s="288"/>
      <c r="C63" s="270"/>
      <c r="D63" s="270"/>
      <c r="E63" s="262"/>
      <c r="F63" s="266"/>
      <c r="G63" s="267"/>
      <c r="H63" s="268"/>
      <c r="I63" s="267"/>
      <c r="J63" s="269"/>
      <c r="K63" s="267"/>
      <c r="L63" s="267"/>
      <c r="M63" s="259"/>
    </row>
    <row r="64" spans="1:29" s="5" customFormat="1" ht="21.6" customHeight="1" thickBot="1" x14ac:dyDescent="0.45">
      <c r="A64" s="487"/>
      <c r="B64" s="1059" t="s">
        <v>198</v>
      </c>
      <c r="C64" s="1060"/>
      <c r="D64" s="1060"/>
      <c r="E64" s="253"/>
      <c r="F64" s="292">
        <f>F11-F26-F55-F60</f>
        <v>0</v>
      </c>
      <c r="G64" s="293" t="s">
        <v>57</v>
      </c>
      <c r="H64" s="294">
        <f>H11-H26-H55-H60</f>
        <v>0</v>
      </c>
      <c r="I64" s="293" t="s">
        <v>206</v>
      </c>
      <c r="J64" s="292">
        <f>J11-J26-J55-J60</f>
        <v>0</v>
      </c>
      <c r="K64" s="293" t="s">
        <v>858</v>
      </c>
      <c r="L64" s="293"/>
      <c r="M64" s="254"/>
      <c r="AB64" s="194"/>
      <c r="AC64" s="194"/>
    </row>
    <row r="65" spans="1:29" s="5" customFormat="1" ht="21" x14ac:dyDescent="0.4">
      <c r="A65" s="487"/>
      <c r="B65" s="55"/>
      <c r="C65"/>
      <c r="D65"/>
      <c r="E65"/>
      <c r="F65"/>
      <c r="G65"/>
      <c r="H65"/>
      <c r="I65"/>
      <c r="J65"/>
      <c r="K65"/>
      <c r="L65"/>
      <c r="M65"/>
    </row>
    <row r="66" spans="1:29" s="194" customFormat="1" ht="16.2" thickBot="1" x14ac:dyDescent="0.35">
      <c r="A66" s="490"/>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487"/>
      <c r="B67" s="1078" t="s">
        <v>240</v>
      </c>
      <c r="C67" s="1079"/>
      <c r="D67" s="1079"/>
      <c r="E67" s="1080"/>
      <c r="F67"/>
      <c r="G67"/>
      <c r="H67"/>
      <c r="I67"/>
      <c r="J67"/>
      <c r="K67"/>
      <c r="L67" s="1073" t="s">
        <v>241</v>
      </c>
      <c r="M67" s="1073"/>
      <c r="AB67"/>
      <c r="AC67"/>
    </row>
    <row r="68" spans="1:29" s="5" customFormat="1" ht="21" x14ac:dyDescent="0.4">
      <c r="A68" s="487"/>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113</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862</v>
      </c>
      <c r="D71" s="44"/>
      <c r="E71" s="44"/>
      <c r="F71" s="74">
        <v>20</v>
      </c>
      <c r="G71" s="44" t="s">
        <v>8</v>
      </c>
      <c r="H71" s="74">
        <v>2.95</v>
      </c>
      <c r="I71" s="49" t="s">
        <v>206</v>
      </c>
      <c r="J71" s="191">
        <f>F71*H71</f>
        <v>59</v>
      </c>
      <c r="K71" s="44" t="s">
        <v>57</v>
      </c>
      <c r="L71" s="46"/>
      <c r="M71" s="46"/>
      <c r="AB71" s="5"/>
      <c r="AC71" s="5"/>
    </row>
    <row r="72" spans="1:29" ht="13.8" thickBot="1" x14ac:dyDescent="0.3">
      <c r="B72" s="44"/>
      <c r="C72" s="45" t="s">
        <v>823</v>
      </c>
      <c r="D72" s="46"/>
      <c r="E72" s="44"/>
      <c r="F72" s="74"/>
      <c r="G72" s="44" t="s">
        <v>8</v>
      </c>
      <c r="H72" s="74"/>
      <c r="I72" s="49" t="s">
        <v>206</v>
      </c>
      <c r="J72" s="191">
        <f>F72*H72</f>
        <v>0</v>
      </c>
      <c r="K72" s="44" t="s">
        <v>57</v>
      </c>
      <c r="L72" s="44"/>
      <c r="M72" s="46"/>
    </row>
    <row r="73" spans="1:29" s="5" customFormat="1" x14ac:dyDescent="0.25">
      <c r="A73" s="487"/>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487"/>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398"/>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398"/>
      <c r="B77" s="97"/>
      <c r="C77" s="97" t="s">
        <v>251</v>
      </c>
      <c r="D77" s="97"/>
      <c r="E77" s="97"/>
      <c r="F77" s="74"/>
      <c r="G77" s="97" t="s">
        <v>212</v>
      </c>
      <c r="H77" s="77"/>
      <c r="I77" s="98" t="s">
        <v>206</v>
      </c>
      <c r="J77" s="100">
        <f t="shared" ref="J77:J78" si="6">F77*H77</f>
        <v>0</v>
      </c>
      <c r="K77" s="97" t="s">
        <v>57</v>
      </c>
      <c r="L77" s="99"/>
      <c r="M77" s="99"/>
      <c r="AB77" s="69"/>
      <c r="AC77" s="69"/>
    </row>
    <row r="78" spans="1:29" ht="15.6" thickBot="1" x14ac:dyDescent="0.3">
      <c r="B78" s="97"/>
      <c r="C78" s="97" t="s">
        <v>251</v>
      </c>
      <c r="D78" s="97"/>
      <c r="E78" s="97"/>
      <c r="F78" s="74"/>
      <c r="G78" s="97" t="s">
        <v>212</v>
      </c>
      <c r="H78" s="77"/>
      <c r="I78" s="98" t="s">
        <v>206</v>
      </c>
      <c r="J78" s="100">
        <f t="shared" si="6"/>
        <v>0</v>
      </c>
      <c r="K78" s="97" t="s">
        <v>57</v>
      </c>
      <c r="L78" s="99"/>
      <c r="M78" s="99"/>
      <c r="N78" s="69"/>
      <c r="O78" s="69"/>
      <c r="P78" s="69"/>
      <c r="Q78" s="69"/>
      <c r="R78" s="69"/>
      <c r="S78" s="69"/>
      <c r="T78" s="69"/>
      <c r="U78" s="69"/>
      <c r="AB78" s="5"/>
      <c r="AC78" s="5"/>
    </row>
    <row r="79" spans="1:29" s="69" customFormat="1" ht="17.399999999999999" x14ac:dyDescent="0.3">
      <c r="A79" s="488"/>
      <c r="B79" s="214"/>
      <c r="C79" s="214" t="s">
        <v>54</v>
      </c>
      <c r="D79" s="214"/>
      <c r="E79" s="214"/>
      <c r="F79" s="214"/>
      <c r="G79" s="214"/>
      <c r="H79" s="214"/>
      <c r="I79" s="215"/>
      <c r="J79" s="216">
        <f>SUM(J77:J78)</f>
        <v>0</v>
      </c>
      <c r="K79" s="214" t="s">
        <v>57</v>
      </c>
      <c r="L79" s="214"/>
      <c r="M79" s="214"/>
      <c r="N79" s="56"/>
      <c r="O79" s="56"/>
      <c r="P79" s="56"/>
      <c r="Q79" s="56"/>
      <c r="R79" s="56"/>
      <c r="S79" s="56"/>
      <c r="T79" s="56"/>
      <c r="U79" s="56"/>
      <c r="AB79" s="5"/>
      <c r="AC79" s="5"/>
    </row>
    <row r="80" spans="1:29" s="5" customFormat="1" x14ac:dyDescent="0.25">
      <c r="A80" s="487"/>
      <c r="B80" s="97"/>
      <c r="C80" s="97"/>
      <c r="D80" s="97"/>
      <c r="E80" s="97"/>
      <c r="F80" s="97"/>
      <c r="G80" s="97"/>
      <c r="H80" s="97"/>
      <c r="I80" s="98"/>
      <c r="J80" s="100"/>
      <c r="K80" s="97"/>
      <c r="L80" s="99"/>
      <c r="M80" s="99"/>
      <c r="N80"/>
      <c r="O80"/>
      <c r="P80"/>
      <c r="Q80"/>
      <c r="R80"/>
      <c r="S80"/>
      <c r="T80"/>
      <c r="U80"/>
    </row>
    <row r="81" spans="1:29" s="5" customFormat="1" ht="15" x14ac:dyDescent="0.25">
      <c r="A81" s="487"/>
      <c r="B81"/>
      <c r="C81"/>
      <c r="D81"/>
      <c r="E81"/>
      <c r="F81"/>
      <c r="G81"/>
      <c r="H81"/>
      <c r="I81"/>
      <c r="J81"/>
      <c r="K81"/>
      <c r="L81"/>
      <c r="M81"/>
      <c r="N81" s="69"/>
      <c r="O81" s="69"/>
      <c r="P81" s="69"/>
      <c r="Q81" s="69"/>
      <c r="R81" s="69"/>
      <c r="S81" s="69"/>
      <c r="T81" s="69"/>
      <c r="U81" s="69"/>
      <c r="AB81"/>
      <c r="AC81"/>
    </row>
    <row r="82" spans="1:29" s="5" customFormat="1" ht="15.6" x14ac:dyDescent="0.3">
      <c r="A82" s="487"/>
      <c r="B82" s="85" t="s">
        <v>863</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ht="13.8" thickBot="1" x14ac:dyDescent="0.3">
      <c r="B85" s="171" t="s">
        <v>254</v>
      </c>
      <c r="C85" s="51"/>
      <c r="D85" s="51"/>
      <c r="E85" s="51"/>
      <c r="F85" s="53"/>
      <c r="G85" s="53"/>
      <c r="H85" s="52"/>
      <c r="I85" s="52"/>
      <c r="J85" s="58"/>
      <c r="K85" s="58"/>
      <c r="L85" s="58"/>
      <c r="M85" s="58"/>
    </row>
    <row r="86" spans="1:29" ht="13.8" thickBot="1" x14ac:dyDescent="0.3">
      <c r="B86" s="51"/>
      <c r="C86" s="51" t="s">
        <v>265</v>
      </c>
      <c r="D86" s="58"/>
      <c r="E86" s="51"/>
      <c r="F86" s="95"/>
      <c r="G86" s="53" t="s">
        <v>256</v>
      </c>
      <c r="H86" s="77"/>
      <c r="I86" s="52" t="s">
        <v>257</v>
      </c>
      <c r="J86" s="58">
        <f t="shared" ref="J86:J88" si="7">F86*H86</f>
        <v>0</v>
      </c>
      <c r="K86" s="51" t="s">
        <v>57</v>
      </c>
      <c r="L86" s="58"/>
      <c r="M86" s="58"/>
    </row>
    <row r="87" spans="1:29" ht="13.8" thickBot="1" x14ac:dyDescent="0.3">
      <c r="B87" s="51"/>
      <c r="C87" s="51" t="s">
        <v>265</v>
      </c>
      <c r="D87" s="51"/>
      <c r="E87" s="51"/>
      <c r="F87" s="95"/>
      <c r="G87" s="53" t="s">
        <v>256</v>
      </c>
      <c r="H87" s="77"/>
      <c r="I87" s="52" t="s">
        <v>257</v>
      </c>
      <c r="J87" s="58">
        <f t="shared" si="7"/>
        <v>0</v>
      </c>
      <c r="K87" s="51" t="s">
        <v>57</v>
      </c>
      <c r="L87" s="58"/>
      <c r="M87" s="58"/>
    </row>
    <row r="88" spans="1:29" ht="13.8" thickBot="1" x14ac:dyDescent="0.3">
      <c r="B88" s="51"/>
      <c r="C88" s="51" t="s">
        <v>265</v>
      </c>
      <c r="D88" s="51"/>
      <c r="E88" s="51"/>
      <c r="F88" s="95"/>
      <c r="G88" s="53" t="s">
        <v>256</v>
      </c>
      <c r="H88" s="77"/>
      <c r="I88" s="52" t="s">
        <v>257</v>
      </c>
      <c r="J88" s="58">
        <f t="shared" si="7"/>
        <v>0</v>
      </c>
      <c r="K88" s="51" t="s">
        <v>57</v>
      </c>
      <c r="L88" s="58"/>
      <c r="M88" s="58"/>
    </row>
    <row r="89" spans="1:29" x14ac:dyDescent="0.25">
      <c r="B89" s="51"/>
      <c r="C89" s="51"/>
      <c r="D89" s="51"/>
      <c r="E89" s="51"/>
      <c r="F89" s="53"/>
      <c r="G89" s="53"/>
      <c r="H89" s="52"/>
      <c r="I89" s="52"/>
      <c r="J89" s="58"/>
      <c r="K89" s="51"/>
      <c r="L89" s="58"/>
      <c r="M89" s="58"/>
    </row>
    <row r="90" spans="1:29" ht="13.8" thickBot="1" x14ac:dyDescent="0.3">
      <c r="B90" s="171" t="s">
        <v>266</v>
      </c>
      <c r="C90" s="51"/>
      <c r="D90" s="51"/>
      <c r="E90" s="51"/>
      <c r="F90" s="53"/>
      <c r="G90" s="53"/>
      <c r="H90" s="52"/>
      <c r="I90" s="52"/>
      <c r="J90" s="58"/>
      <c r="K90" s="51"/>
      <c r="L90" s="58"/>
      <c r="M90" s="58"/>
    </row>
    <row r="91" spans="1:29" ht="13.8" thickBot="1" x14ac:dyDescent="0.3">
      <c r="B91" s="51"/>
      <c r="C91" s="51" t="s">
        <v>267</v>
      </c>
      <c r="D91" s="51"/>
      <c r="E91" s="51"/>
      <c r="F91" s="95"/>
      <c r="G91" s="53" t="s">
        <v>256</v>
      </c>
      <c r="H91" s="95"/>
      <c r="I91" s="52" t="s">
        <v>257</v>
      </c>
      <c r="J91" s="58">
        <f t="shared" ref="J91:J93" si="8">F91*H91</f>
        <v>0</v>
      </c>
      <c r="K91" s="51" t="s">
        <v>57</v>
      </c>
      <c r="L91" s="58"/>
      <c r="M91" s="58"/>
    </row>
    <row r="92" spans="1:29" ht="13.8" thickBot="1" x14ac:dyDescent="0.3">
      <c r="B92" s="51"/>
      <c r="C92" s="51" t="s">
        <v>267</v>
      </c>
      <c r="D92" s="51"/>
      <c r="E92" s="51"/>
      <c r="F92" s="95"/>
      <c r="G92" s="53" t="s">
        <v>256</v>
      </c>
      <c r="H92" s="95"/>
      <c r="I92" s="52" t="s">
        <v>257</v>
      </c>
      <c r="J92" s="58">
        <f t="shared" si="8"/>
        <v>0</v>
      </c>
      <c r="K92" s="51" t="s">
        <v>57</v>
      </c>
      <c r="L92" s="58"/>
      <c r="M92" s="58"/>
      <c r="AB92" s="5"/>
      <c r="AC92" s="5"/>
    </row>
    <row r="93" spans="1:29" ht="13.8" thickBot="1" x14ac:dyDescent="0.3">
      <c r="B93" s="51"/>
      <c r="C93" s="51" t="s">
        <v>267</v>
      </c>
      <c r="D93" s="51"/>
      <c r="E93" s="51"/>
      <c r="F93" s="95"/>
      <c r="G93" s="53" t="s">
        <v>256</v>
      </c>
      <c r="H93" s="95"/>
      <c r="I93" s="52" t="s">
        <v>257</v>
      </c>
      <c r="J93" s="58">
        <f t="shared" si="8"/>
        <v>0</v>
      </c>
      <c r="K93" s="51" t="s">
        <v>57</v>
      </c>
      <c r="L93" s="58"/>
      <c r="M93" s="58"/>
    </row>
    <row r="94" spans="1:29" s="5" customFormat="1" x14ac:dyDescent="0.25">
      <c r="A94" s="487"/>
      <c r="B94" s="195"/>
      <c r="C94" s="195" t="s">
        <v>54</v>
      </c>
      <c r="D94" s="195"/>
      <c r="E94" s="195"/>
      <c r="F94" s="196"/>
      <c r="G94" s="196"/>
      <c r="H94" s="196"/>
      <c r="I94" s="197"/>
      <c r="J94" s="197">
        <f>SUM(J86:J93)</f>
        <v>0</v>
      </c>
      <c r="K94" s="195" t="s">
        <v>57</v>
      </c>
      <c r="L94" s="195"/>
      <c r="M94" s="195"/>
      <c r="AB94"/>
      <c r="AC94"/>
    </row>
    <row r="95" spans="1:29" x14ac:dyDescent="0.25">
      <c r="B95" s="51"/>
      <c r="C95" s="51"/>
      <c r="D95" s="51"/>
      <c r="E95" s="51"/>
      <c r="F95" s="53"/>
      <c r="G95" s="53"/>
      <c r="H95" s="52"/>
      <c r="I95" s="52"/>
      <c r="J95" s="58"/>
      <c r="K95" s="51"/>
      <c r="L95" s="58"/>
      <c r="M95" s="58"/>
    </row>
    <row r="96" spans="1:29" x14ac:dyDescent="0.25">
      <c r="A96" s="491"/>
    </row>
    <row r="97" spans="1:29" ht="15.6" x14ac:dyDescent="0.3">
      <c r="A97" s="491"/>
      <c r="B97" s="176" t="s">
        <v>275</v>
      </c>
      <c r="C97" s="177"/>
      <c r="D97" s="177"/>
      <c r="E97" s="177"/>
      <c r="F97" s="1067" t="s">
        <v>114</v>
      </c>
      <c r="G97" s="1067"/>
      <c r="H97" s="1067" t="s">
        <v>113</v>
      </c>
      <c r="I97" s="1067"/>
      <c r="J97" s="1067" t="s">
        <v>243</v>
      </c>
      <c r="K97" s="1067"/>
      <c r="L97" s="179"/>
      <c r="M97" s="179"/>
    </row>
    <row r="98" spans="1:29" ht="13.8" thickBot="1" x14ac:dyDescent="0.3">
      <c r="A98" s="491"/>
      <c r="B98" s="177"/>
      <c r="C98" s="177"/>
      <c r="D98" s="177"/>
      <c r="E98" s="177"/>
      <c r="F98" s="177"/>
      <c r="G98" s="177"/>
      <c r="H98" s="178"/>
      <c r="I98" s="178"/>
      <c r="J98" s="179"/>
      <c r="K98" s="179"/>
      <c r="L98" s="179"/>
      <c r="M98" s="179"/>
    </row>
    <row r="99" spans="1:29" ht="13.8" thickBot="1" x14ac:dyDescent="0.3">
      <c r="A99" s="491"/>
      <c r="B99" s="177"/>
      <c r="C99" s="177" t="s">
        <v>276</v>
      </c>
      <c r="D99" s="179"/>
      <c r="E99" s="177"/>
      <c r="F99" s="74"/>
      <c r="G99" s="177" t="s">
        <v>7</v>
      </c>
      <c r="H99" s="77"/>
      <c r="I99" s="178" t="s">
        <v>57</v>
      </c>
      <c r="J99" s="180">
        <f t="shared" ref="J99:J101" si="9">F99*H99</f>
        <v>0</v>
      </c>
      <c r="K99" s="177" t="s">
        <v>57</v>
      </c>
      <c r="L99" s="179"/>
      <c r="M99" s="179"/>
    </row>
    <row r="100" spans="1:29" ht="13.8" thickBot="1" x14ac:dyDescent="0.3">
      <c r="B100" s="177"/>
      <c r="C100" s="177" t="s">
        <v>276</v>
      </c>
      <c r="D100" s="177"/>
      <c r="E100" s="177"/>
      <c r="F100" s="74"/>
      <c r="G100" s="177" t="s">
        <v>7</v>
      </c>
      <c r="H100" s="77"/>
      <c r="I100" s="178" t="s">
        <v>57</v>
      </c>
      <c r="J100" s="180">
        <f t="shared" si="9"/>
        <v>0</v>
      </c>
      <c r="K100" s="177" t="s">
        <v>57</v>
      </c>
      <c r="L100" s="179"/>
      <c r="M100" s="179"/>
      <c r="AB100" s="5"/>
      <c r="AC100" s="5"/>
    </row>
    <row r="101" spans="1:29" ht="13.8" thickBot="1" x14ac:dyDescent="0.3">
      <c r="B101" s="177"/>
      <c r="C101" s="177" t="s">
        <v>276</v>
      </c>
      <c r="D101" s="177"/>
      <c r="E101" s="177"/>
      <c r="F101" s="74"/>
      <c r="G101" s="177" t="s">
        <v>7</v>
      </c>
      <c r="H101" s="77"/>
      <c r="I101" s="178" t="s">
        <v>57</v>
      </c>
      <c r="J101" s="180">
        <f t="shared" si="9"/>
        <v>0</v>
      </c>
      <c r="K101" s="177" t="s">
        <v>57</v>
      </c>
      <c r="L101" s="179"/>
      <c r="M101" s="179"/>
    </row>
    <row r="102" spans="1:29" s="5" customFormat="1" x14ac:dyDescent="0.25">
      <c r="A102" s="487"/>
      <c r="B102" s="177"/>
      <c r="C102" s="204" t="s">
        <v>54</v>
      </c>
      <c r="D102" s="204"/>
      <c r="E102" s="204"/>
      <c r="F102" s="204"/>
      <c r="G102" s="204"/>
      <c r="H102" s="205"/>
      <c r="I102" s="205"/>
      <c r="J102" s="206">
        <f>SUM(J99:J101)</f>
        <v>0</v>
      </c>
      <c r="K102" s="204" t="s">
        <v>57</v>
      </c>
      <c r="L102" s="204"/>
      <c r="M102" s="204"/>
      <c r="N102"/>
      <c r="O102"/>
      <c r="P102"/>
      <c r="Q102"/>
      <c r="R102"/>
      <c r="S102"/>
      <c r="T102"/>
      <c r="U102"/>
      <c r="AB102"/>
      <c r="AC102"/>
    </row>
    <row r="103" spans="1:29" x14ac:dyDescent="0.25">
      <c r="B103" s="204"/>
      <c r="C103" s="204"/>
      <c r="D103" s="177"/>
      <c r="E103" s="177"/>
      <c r="F103" s="177"/>
      <c r="G103" s="177"/>
      <c r="H103" s="178"/>
      <c r="I103" s="178"/>
      <c r="J103" s="180"/>
      <c r="K103" s="177"/>
      <c r="L103" s="179"/>
      <c r="M103" s="179"/>
    </row>
    <row r="104" spans="1:29" ht="30" customHeight="1" x14ac:dyDescent="0.25">
      <c r="B104" s="13"/>
      <c r="C104" s="13"/>
      <c r="N104" s="5"/>
      <c r="O104" s="5"/>
      <c r="P104" s="5"/>
      <c r="Q104" s="5"/>
      <c r="R104" s="5"/>
      <c r="S104" s="5"/>
      <c r="T104" s="5"/>
      <c r="U104" s="5"/>
    </row>
    <row r="105" spans="1:29" ht="15.6" x14ac:dyDescent="0.3">
      <c r="B105" s="181" t="s">
        <v>830</v>
      </c>
      <c r="C105" s="182"/>
      <c r="D105" s="182"/>
      <c r="E105" s="183"/>
      <c r="F105" s="182" t="s">
        <v>114</v>
      </c>
      <c r="G105" s="185"/>
      <c r="H105" s="184" t="s">
        <v>113</v>
      </c>
      <c r="I105" s="182"/>
      <c r="J105" s="182" t="s">
        <v>243</v>
      </c>
      <c r="K105" s="185"/>
      <c r="L105" s="185"/>
      <c r="M105" s="185"/>
    </row>
    <row r="106" spans="1:29" ht="13.8" thickBot="1" x14ac:dyDescent="0.3">
      <c r="B106" s="185"/>
      <c r="C106" s="185"/>
      <c r="D106" s="185"/>
      <c r="E106" s="183"/>
      <c r="F106" s="182"/>
      <c r="G106" s="184"/>
      <c r="H106" s="184"/>
      <c r="I106" s="182"/>
      <c r="J106" s="182"/>
      <c r="K106" s="185"/>
      <c r="L106" s="185"/>
      <c r="M106" s="185"/>
    </row>
    <row r="107" spans="1:29" ht="16.2" thickBot="1" x14ac:dyDescent="0.35">
      <c r="B107" s="181"/>
      <c r="C107" s="182" t="s">
        <v>278</v>
      </c>
      <c r="D107" s="185"/>
      <c r="E107" s="186"/>
      <c r="F107" s="74"/>
      <c r="G107" s="187" t="s">
        <v>279</v>
      </c>
      <c r="H107" s="74"/>
      <c r="I107" s="188" t="s">
        <v>280</v>
      </c>
      <c r="J107" s="185">
        <f>H107*F107</f>
        <v>0</v>
      </c>
      <c r="K107" s="188" t="s">
        <v>57</v>
      </c>
      <c r="L107" s="185"/>
      <c r="M107" s="185"/>
    </row>
    <row r="108" spans="1:29" ht="13.8" thickBot="1" x14ac:dyDescent="0.3">
      <c r="B108" s="182"/>
      <c r="C108" s="182" t="s">
        <v>698</v>
      </c>
      <c r="D108" s="188">
        <f>F130/2</f>
        <v>4.5</v>
      </c>
      <c r="E108" s="182" t="s">
        <v>282</v>
      </c>
      <c r="F108" s="74">
        <f>+D108*8</f>
        <v>36</v>
      </c>
      <c r="G108" s="184" t="s">
        <v>256</v>
      </c>
      <c r="H108" s="74">
        <v>0.83</v>
      </c>
      <c r="I108" s="188" t="s">
        <v>257</v>
      </c>
      <c r="J108" s="185">
        <f>H108*F108</f>
        <v>29.88</v>
      </c>
      <c r="K108" s="188" t="s">
        <v>57</v>
      </c>
      <c r="L108" s="185"/>
      <c r="M108" s="185"/>
    </row>
    <row r="109" spans="1:29" ht="13.8" thickBot="1" x14ac:dyDescent="0.3">
      <c r="B109" s="182"/>
      <c r="C109" s="182" t="s">
        <v>686</v>
      </c>
      <c r="D109" s="188">
        <f>D108</f>
        <v>4.5</v>
      </c>
      <c r="E109" s="182" t="s">
        <v>282</v>
      </c>
      <c r="F109" s="74">
        <v>11.88</v>
      </c>
      <c r="G109" s="184" t="s">
        <v>212</v>
      </c>
      <c r="H109" s="74">
        <v>4</v>
      </c>
      <c r="I109" s="188" t="s">
        <v>206</v>
      </c>
      <c r="J109" s="185">
        <f t="shared" ref="J109:J113" si="10">H109*F109</f>
        <v>47.52</v>
      </c>
      <c r="K109" s="188" t="s">
        <v>57</v>
      </c>
      <c r="L109" s="185"/>
      <c r="M109" s="185"/>
    </row>
    <row r="110" spans="1:29" ht="13.8" thickBot="1" x14ac:dyDescent="0.3">
      <c r="B110" s="182"/>
      <c r="C110" s="182" t="s">
        <v>284</v>
      </c>
      <c r="D110" s="185"/>
      <c r="E110" s="188"/>
      <c r="F110" s="74"/>
      <c r="G110" s="184" t="s">
        <v>256</v>
      </c>
      <c r="H110" s="74"/>
      <c r="I110" s="188" t="s">
        <v>257</v>
      </c>
      <c r="J110" s="185">
        <f t="shared" si="10"/>
        <v>0</v>
      </c>
      <c r="K110" s="188" t="s">
        <v>57</v>
      </c>
      <c r="L110" s="185"/>
      <c r="M110" s="185"/>
    </row>
    <row r="111" spans="1:29" ht="13.8" thickBot="1" x14ac:dyDescent="0.3">
      <c r="B111" s="182"/>
      <c r="C111" s="182" t="s">
        <v>286</v>
      </c>
      <c r="D111" s="185"/>
      <c r="E111" s="188"/>
      <c r="F111" s="74"/>
      <c r="G111" s="184" t="s">
        <v>256</v>
      </c>
      <c r="H111" s="74"/>
      <c r="I111" s="188" t="s">
        <v>257</v>
      </c>
      <c r="J111" s="185">
        <f t="shared" si="10"/>
        <v>0</v>
      </c>
      <c r="K111" s="188" t="s">
        <v>57</v>
      </c>
      <c r="L111" s="185"/>
      <c r="M111" s="185"/>
    </row>
    <row r="112" spans="1:29" ht="13.8" thickBot="1" x14ac:dyDescent="0.3">
      <c r="B112" s="182"/>
      <c r="C112" s="182" t="s">
        <v>286</v>
      </c>
      <c r="D112" s="185"/>
      <c r="E112" s="188"/>
      <c r="F112" s="74"/>
      <c r="G112" s="184"/>
      <c r="H112" s="74"/>
      <c r="I112" s="188"/>
      <c r="J112" s="185">
        <f t="shared" si="10"/>
        <v>0</v>
      </c>
      <c r="K112" s="188" t="s">
        <v>57</v>
      </c>
      <c r="L112" s="185"/>
      <c r="M112" s="185"/>
      <c r="AB112" s="5"/>
      <c r="AC112" s="5"/>
    </row>
    <row r="113" spans="1:29" ht="13.8" thickBot="1" x14ac:dyDescent="0.3">
      <c r="B113" s="182"/>
      <c r="C113" s="182" t="s">
        <v>286</v>
      </c>
      <c r="D113" s="185"/>
      <c r="E113" s="185"/>
      <c r="F113" s="74"/>
      <c r="G113" s="185"/>
      <c r="H113" s="74"/>
      <c r="I113" s="185"/>
      <c r="J113" s="185">
        <f t="shared" si="10"/>
        <v>0</v>
      </c>
      <c r="K113" s="188" t="s">
        <v>57</v>
      </c>
      <c r="L113" s="185"/>
      <c r="M113" s="185"/>
    </row>
    <row r="114" spans="1:29" s="5" customFormat="1" x14ac:dyDescent="0.25">
      <c r="A114" s="487"/>
      <c r="B114" s="185"/>
      <c r="C114" s="207" t="s">
        <v>54</v>
      </c>
      <c r="D114" s="207"/>
      <c r="E114" s="207"/>
      <c r="F114" s="207"/>
      <c r="G114" s="207"/>
      <c r="H114" s="207"/>
      <c r="I114" s="207"/>
      <c r="J114" s="207">
        <f>SUM(J107:J113)</f>
        <v>77.400000000000006</v>
      </c>
      <c r="K114" s="208" t="s">
        <v>57</v>
      </c>
      <c r="L114" s="207"/>
      <c r="M114" s="207"/>
      <c r="AB114"/>
      <c r="AC114"/>
    </row>
    <row r="115" spans="1:29" x14ac:dyDescent="0.25">
      <c r="B115" s="207"/>
      <c r="C115" s="185"/>
      <c r="D115" s="185"/>
      <c r="E115" s="185"/>
      <c r="F115" s="185"/>
      <c r="G115" s="185"/>
      <c r="H115" s="185"/>
      <c r="I115" s="185"/>
      <c r="J115" s="185"/>
      <c r="K115" s="185"/>
      <c r="L115" s="185"/>
      <c r="M115" s="185"/>
    </row>
    <row r="117" spans="1:29" ht="15.6" x14ac:dyDescent="0.3">
      <c r="B117" s="88" t="s">
        <v>287</v>
      </c>
      <c r="C117" s="79"/>
      <c r="D117" s="79"/>
      <c r="E117" s="79"/>
      <c r="F117" s="79"/>
      <c r="G117" s="79"/>
      <c r="H117" s="79"/>
      <c r="I117" s="79"/>
      <c r="J117" s="79"/>
      <c r="K117" s="79"/>
      <c r="L117" s="79"/>
      <c r="M117" s="79"/>
    </row>
    <row r="118" spans="1:29" ht="15.6" x14ac:dyDescent="0.3">
      <c r="B118" s="88"/>
      <c r="C118" s="79"/>
      <c r="D118" s="79"/>
      <c r="E118" s="79"/>
      <c r="F118" s="79"/>
      <c r="G118" s="79"/>
      <c r="H118" s="79"/>
      <c r="I118" s="79"/>
      <c r="J118" s="79"/>
      <c r="K118" s="79"/>
      <c r="L118" s="79"/>
      <c r="M118" s="79"/>
      <c r="AB118" s="5"/>
      <c r="AC118" s="5"/>
    </row>
    <row r="119" spans="1:29" ht="15" customHeight="1" x14ac:dyDescent="0.25">
      <c r="B119" s="1096" t="s">
        <v>699</v>
      </c>
      <c r="C119" s="1096"/>
      <c r="D119" s="1096"/>
      <c r="E119" s="1096"/>
      <c r="F119" s="1096"/>
      <c r="G119" s="1096"/>
      <c r="H119" s="1096"/>
      <c r="I119" s="1096"/>
      <c r="J119" s="1096"/>
      <c r="K119" s="1096"/>
      <c r="L119" s="1096"/>
      <c r="M119" s="1096"/>
    </row>
    <row r="120" spans="1:29" s="5" customFormat="1" ht="15.6" x14ac:dyDescent="0.3">
      <c r="A120" s="487"/>
      <c r="B120" s="88"/>
      <c r="C120" s="79"/>
      <c r="D120" s="79"/>
      <c r="E120" s="83"/>
      <c r="F120" s="83"/>
      <c r="G120" s="83"/>
      <c r="H120" s="84"/>
      <c r="I120" s="84"/>
      <c r="J120" s="83"/>
      <c r="K120" s="83"/>
      <c r="L120" s="84"/>
      <c r="M120" s="84"/>
      <c r="N120"/>
      <c r="O120"/>
      <c r="P120"/>
      <c r="Q120"/>
      <c r="R120"/>
      <c r="S120"/>
      <c r="T120"/>
      <c r="U120"/>
      <c r="AB120"/>
      <c r="AC120"/>
    </row>
    <row r="121" spans="1:29" ht="15.6" x14ac:dyDescent="0.3">
      <c r="B121" s="88"/>
      <c r="C121" s="79"/>
      <c r="D121" s="79"/>
      <c r="E121" s="1069" t="s">
        <v>290</v>
      </c>
      <c r="F121" s="1069"/>
      <c r="G121" s="1069"/>
      <c r="H121" s="1070" t="s">
        <v>113</v>
      </c>
      <c r="I121" s="1070"/>
      <c r="J121" s="1069" t="s">
        <v>291</v>
      </c>
      <c r="K121" s="1069"/>
      <c r="L121" s="1070" t="s">
        <v>113</v>
      </c>
      <c r="M121" s="1070"/>
    </row>
    <row r="122" spans="1:29" ht="33" customHeight="1" thickBot="1" x14ac:dyDescent="0.3">
      <c r="B122" s="78"/>
      <c r="C122" s="79"/>
      <c r="D122" s="79"/>
      <c r="E122" s="79"/>
      <c r="F122" s="79"/>
      <c r="G122" s="79"/>
      <c r="H122" s="79"/>
      <c r="I122" s="79"/>
      <c r="J122" s="79"/>
      <c r="K122" s="79"/>
      <c r="L122" s="79"/>
      <c r="M122" s="79"/>
      <c r="N122" s="5"/>
      <c r="O122" s="5"/>
      <c r="P122" s="5"/>
      <c r="Q122" s="5"/>
      <c r="R122" s="5"/>
      <c r="S122" s="5"/>
      <c r="T122" s="5"/>
      <c r="U122" s="5"/>
    </row>
    <row r="123" spans="1:29" ht="13.8" thickBot="1" x14ac:dyDescent="0.3">
      <c r="B123" s="79"/>
      <c r="C123" s="80" t="s">
        <v>292</v>
      </c>
      <c r="D123" s="79"/>
      <c r="E123" s="79"/>
      <c r="F123" s="91">
        <v>2</v>
      </c>
      <c r="G123" s="82" t="s">
        <v>293</v>
      </c>
      <c r="H123" s="93">
        <v>14.5</v>
      </c>
      <c r="I123" s="82" t="s">
        <v>294</v>
      </c>
      <c r="J123" s="92"/>
      <c r="K123" s="82" t="s">
        <v>293</v>
      </c>
      <c r="L123" s="93">
        <v>14.5</v>
      </c>
      <c r="M123" s="82" t="s">
        <v>294</v>
      </c>
    </row>
    <row r="124" spans="1:29" ht="13.8" thickBot="1" x14ac:dyDescent="0.3">
      <c r="B124" s="79"/>
      <c r="C124" s="80" t="s">
        <v>831</v>
      </c>
      <c r="D124" s="79"/>
      <c r="E124" s="79"/>
      <c r="F124" s="91">
        <v>3</v>
      </c>
      <c r="G124" s="82" t="s">
        <v>293</v>
      </c>
      <c r="H124" s="90">
        <f t="shared" ref="H124:H129" si="11">$H$123</f>
        <v>14.5</v>
      </c>
      <c r="I124" s="82" t="s">
        <v>294</v>
      </c>
      <c r="J124" s="92"/>
      <c r="K124" s="82" t="s">
        <v>293</v>
      </c>
      <c r="L124" s="90">
        <f t="shared" ref="L124:L129" si="12">$L$123</f>
        <v>14.5</v>
      </c>
      <c r="M124" s="82" t="s">
        <v>294</v>
      </c>
    </row>
    <row r="125" spans="1:29" ht="13.8" thickBot="1" x14ac:dyDescent="0.3">
      <c r="B125" s="79"/>
      <c r="C125" s="80" t="s">
        <v>381</v>
      </c>
      <c r="D125" s="79"/>
      <c r="E125" s="79"/>
      <c r="F125" s="91">
        <v>2</v>
      </c>
      <c r="G125" s="82" t="s">
        <v>293</v>
      </c>
      <c r="H125" s="90">
        <f t="shared" si="11"/>
        <v>14.5</v>
      </c>
      <c r="I125" s="82" t="s">
        <v>294</v>
      </c>
      <c r="J125" s="92"/>
      <c r="K125" s="82" t="s">
        <v>293</v>
      </c>
      <c r="L125" s="90">
        <f t="shared" si="12"/>
        <v>14.5</v>
      </c>
      <c r="M125" s="82" t="s">
        <v>294</v>
      </c>
    </row>
    <row r="126" spans="1:29" ht="13.8" thickBot="1" x14ac:dyDescent="0.3">
      <c r="B126" s="79"/>
      <c r="C126" s="80" t="s">
        <v>864</v>
      </c>
      <c r="D126" s="79"/>
      <c r="E126" s="79"/>
      <c r="F126" s="91">
        <v>2</v>
      </c>
      <c r="G126" s="82" t="s">
        <v>293</v>
      </c>
      <c r="H126" s="90">
        <f t="shared" si="11"/>
        <v>14.5</v>
      </c>
      <c r="I126" s="82" t="s">
        <v>294</v>
      </c>
      <c r="J126" s="92"/>
      <c r="K126" s="82" t="s">
        <v>293</v>
      </c>
      <c r="L126" s="90">
        <f t="shared" si="12"/>
        <v>14.5</v>
      </c>
      <c r="M126" s="82" t="s">
        <v>294</v>
      </c>
    </row>
    <row r="127" spans="1:29" ht="13.8" thickBot="1" x14ac:dyDescent="0.3">
      <c r="B127" s="79"/>
      <c r="C127" s="80" t="s">
        <v>431</v>
      </c>
      <c r="D127" s="79"/>
      <c r="E127" s="79"/>
      <c r="F127" s="92"/>
      <c r="G127" s="82" t="s">
        <v>293</v>
      </c>
      <c r="H127" s="90">
        <f t="shared" si="11"/>
        <v>14.5</v>
      </c>
      <c r="I127" s="82" t="s">
        <v>294</v>
      </c>
      <c r="J127" s="75"/>
      <c r="K127" s="82" t="s">
        <v>293</v>
      </c>
      <c r="L127" s="90">
        <f t="shared" si="12"/>
        <v>14.5</v>
      </c>
      <c r="M127" s="82" t="s">
        <v>294</v>
      </c>
    </row>
    <row r="128" spans="1:29" ht="13.8" thickBot="1" x14ac:dyDescent="0.3">
      <c r="B128" s="79"/>
      <c r="C128" s="80" t="s">
        <v>431</v>
      </c>
      <c r="D128" s="79"/>
      <c r="E128" s="79"/>
      <c r="F128" s="92"/>
      <c r="G128" s="82" t="s">
        <v>293</v>
      </c>
      <c r="H128" s="90">
        <f t="shared" si="11"/>
        <v>14.5</v>
      </c>
      <c r="I128" s="82" t="s">
        <v>294</v>
      </c>
      <c r="J128" s="75"/>
      <c r="K128" s="82" t="s">
        <v>293</v>
      </c>
      <c r="L128" s="90">
        <f t="shared" si="12"/>
        <v>14.5</v>
      </c>
      <c r="M128" s="82" t="s">
        <v>294</v>
      </c>
    </row>
    <row r="129" spans="2:21" ht="13.8" thickBot="1" x14ac:dyDescent="0.3">
      <c r="B129" s="79"/>
      <c r="C129" s="80" t="s">
        <v>431</v>
      </c>
      <c r="D129" s="81"/>
      <c r="E129" s="81"/>
      <c r="F129" s="75"/>
      <c r="G129" s="82" t="s">
        <v>293</v>
      </c>
      <c r="H129" s="90">
        <f t="shared" si="11"/>
        <v>14.5</v>
      </c>
      <c r="I129" s="82" t="s">
        <v>294</v>
      </c>
      <c r="J129" s="75"/>
      <c r="K129" s="82" t="s">
        <v>293</v>
      </c>
      <c r="L129" s="90">
        <f t="shared" si="12"/>
        <v>14.5</v>
      </c>
      <c r="M129" s="82" t="s">
        <v>294</v>
      </c>
    </row>
    <row r="130" spans="2:21" x14ac:dyDescent="0.25">
      <c r="B130" s="209"/>
      <c r="C130" s="210" t="s">
        <v>54</v>
      </c>
      <c r="D130" s="211"/>
      <c r="E130" s="211"/>
      <c r="F130" s="212">
        <f>SUM(F123:F129)</f>
        <v>9</v>
      </c>
      <c r="G130" s="209" t="s">
        <v>293</v>
      </c>
      <c r="H130" s="213">
        <f>F130*H123</f>
        <v>130.5</v>
      </c>
      <c r="I130" s="209" t="s">
        <v>57</v>
      </c>
      <c r="J130" s="212">
        <f>SUM(J123:J129)</f>
        <v>0</v>
      </c>
      <c r="K130" s="209" t="s">
        <v>293</v>
      </c>
      <c r="L130" s="213">
        <f>J130*L123</f>
        <v>0</v>
      </c>
      <c r="M130" s="209" t="s">
        <v>57</v>
      </c>
    </row>
    <row r="132" spans="2:21" ht="40.200000000000003" customHeight="1" x14ac:dyDescent="0.25">
      <c r="N132" s="5"/>
      <c r="O132" s="5"/>
      <c r="P132" s="5"/>
      <c r="Q132" s="5"/>
      <c r="R132" s="5"/>
      <c r="S132" s="5"/>
      <c r="T132" s="5"/>
      <c r="U132" s="5"/>
    </row>
    <row r="135" spans="2:21" ht="37.950000000000003" customHeight="1" x14ac:dyDescent="0.25"/>
    <row r="145" spans="1:29" x14ac:dyDescent="0.25">
      <c r="AB145" s="5"/>
      <c r="AC145" s="5"/>
    </row>
    <row r="147" spans="1:29" s="5" customFormat="1" x14ac:dyDescent="0.25">
      <c r="A147" s="487"/>
      <c r="B147"/>
      <c r="C147"/>
      <c r="D147"/>
      <c r="E147"/>
      <c r="F147"/>
      <c r="G147"/>
      <c r="H147"/>
      <c r="I147"/>
      <c r="J147"/>
      <c r="K147"/>
      <c r="L147"/>
      <c r="M147"/>
      <c r="N147"/>
      <c r="O147"/>
      <c r="P147"/>
      <c r="Q147"/>
      <c r="R147"/>
      <c r="S147"/>
      <c r="T147"/>
      <c r="U147"/>
      <c r="AB147"/>
      <c r="AC147"/>
    </row>
    <row r="149" spans="1:29" x14ac:dyDescent="0.25">
      <c r="N149" s="5"/>
      <c r="O149" s="5"/>
      <c r="P149" s="5"/>
      <c r="Q149" s="5"/>
      <c r="R149" s="5"/>
      <c r="S149" s="5"/>
      <c r="T149" s="5"/>
      <c r="U149" s="5"/>
    </row>
  </sheetData>
  <mergeCells count="37">
    <mergeCell ref="F97:G97"/>
    <mergeCell ref="H97:I97"/>
    <mergeCell ref="J97:K97"/>
    <mergeCell ref="B119:M119"/>
    <mergeCell ref="E121:G121"/>
    <mergeCell ref="H121:I121"/>
    <mergeCell ref="J121:K121"/>
    <mergeCell ref="L121:M121"/>
    <mergeCell ref="F75:G75"/>
    <mergeCell ref="H75:I75"/>
    <mergeCell ref="J75:K75"/>
    <mergeCell ref="F82:G82"/>
    <mergeCell ref="H82:I82"/>
    <mergeCell ref="J82:K82"/>
    <mergeCell ref="B60:D60"/>
    <mergeCell ref="B64:D64"/>
    <mergeCell ref="B67:E67"/>
    <mergeCell ref="L67:M67"/>
    <mergeCell ref="F69:G69"/>
    <mergeCell ref="H69:I69"/>
    <mergeCell ref="J69:K69"/>
    <mergeCell ref="B62:D62"/>
    <mergeCell ref="B2:C2"/>
    <mergeCell ref="B4:L4"/>
    <mergeCell ref="B11:D11"/>
    <mergeCell ref="B55:D55"/>
    <mergeCell ref="B24:E24"/>
    <mergeCell ref="B25:E25"/>
    <mergeCell ref="B26:D26"/>
    <mergeCell ref="B29:C29"/>
    <mergeCell ref="C32:D32"/>
    <mergeCell ref="B36:D36"/>
    <mergeCell ref="C39:D39"/>
    <mergeCell ref="B43:D43"/>
    <mergeCell ref="C46:D46"/>
    <mergeCell ref="B50:C50"/>
    <mergeCell ref="C53:D53"/>
  </mergeCells>
  <hyperlinks>
    <hyperlink ref="B2" location="Tilakokonaisuus!A1" display="PALAA ETUSIVULLE" xr:uid="{FCC31F6E-CE69-E648-8F96-C038B46F35FD}"/>
    <hyperlink ref="B2:C2" location="'Gårdens info'!A1" display="TILL FRAMSIDAN" xr:uid="{547EF13C-30E8-D94F-8DB1-32765F8E3608}"/>
    <hyperlink ref="B24:E24" location="'Gårdens info'!C97" display="ALLMÄNNA KOSTNADER, naturvårdsåkerns andel " xr:uid="{BEC26550-E5F4-7941-A5B6-1C85790AA903}"/>
    <hyperlink ref="B29:C29" location="Omaisuus!B15" display="RAKENNUKSET" xr:uid="{B93C312C-0DEE-434C-9F73-5D94A94FF10F}"/>
    <hyperlink ref="B36:D36" location="Omaisuus!B28" display="KONEET JA KALUSTO" xr:uid="{46350928-0527-A44A-A778-EF8997A40E21}"/>
    <hyperlink ref="B43:D43" location="Omaisuus!B51" display="PIDEMPIAIKAISET TUOTANTOVÄLINEET" xr:uid="{821D3AF7-7C58-6545-9567-F3C6B26C2E6F}"/>
    <hyperlink ref="B50:C50" location="Omaisuus!B70" display="SALAOJAT" xr:uid="{EF81AD66-9E7D-EE48-87F0-25048569FD07}"/>
    <hyperlink ref="L67" location="'Avomaan mansikka'!B2" display="PALAA SIVUN YLÄLAITAAN" xr:uid="{8B7739B4-E5E6-C246-B421-4E4797F6204D}"/>
    <hyperlink ref="L67:M67" location="Naturvårdsåkern!A1" display="TILL SIDANS BÖRJAN" xr:uid="{C5F96017-E880-1348-996F-7760AEA66AFE}"/>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71A8B-2770-184C-9C7B-D1232967FF5E}">
  <sheetPr>
    <tabColor rgb="FF00B050"/>
  </sheetPr>
  <dimension ref="A1:AC149"/>
  <sheetViews>
    <sheetView topLeftCell="A6" zoomScale="80" zoomScaleNormal="80" workbookViewId="0">
      <selection activeCell="B26" sqref="B26:D26"/>
    </sheetView>
  </sheetViews>
  <sheetFormatPr defaultColWidth="11.44140625" defaultRowHeight="13.2" x14ac:dyDescent="0.25"/>
  <cols>
    <col min="1" max="1" width="5.33203125" style="563" customWidth="1"/>
    <col min="3" max="3" width="16.6640625" customWidth="1"/>
    <col min="4" max="4" width="22.6640625" customWidth="1"/>
    <col min="5" max="5" width="12.109375" bestFit="1" customWidth="1"/>
    <col min="6" max="6" width="20.6640625" bestFit="1" customWidth="1"/>
    <col min="7" max="7" width="6.33203125" customWidth="1"/>
    <col min="8" max="8" width="17.6640625" customWidth="1"/>
    <col min="9" max="9" width="6" customWidth="1"/>
    <col min="10" max="10" width="15.109375" customWidth="1"/>
    <col min="11" max="11" width="9.6640625" customWidth="1"/>
    <col min="12" max="12" width="20" customWidth="1"/>
    <col min="13" max="13" width="12.109375" customWidth="1"/>
    <col min="14" max="14" width="9.44140625" customWidth="1"/>
    <col min="15" max="15" width="6.6640625" customWidth="1"/>
    <col min="16" max="16" width="4.44140625" customWidth="1"/>
    <col min="17" max="17" width="15" customWidth="1"/>
    <col min="18" max="18" width="5.109375" customWidth="1"/>
    <col min="19" max="19" width="18.33203125" bestFit="1" customWidth="1"/>
    <col min="28" max="28" width="11.6640625" bestFit="1" customWidth="1"/>
    <col min="29" max="29" width="11" bestFit="1" customWidth="1"/>
  </cols>
  <sheetData>
    <row r="1" spans="1:13" s="563" customFormat="1" ht="22.8" x14ac:dyDescent="0.4">
      <c r="B1" s="570" t="s">
        <v>53</v>
      </c>
    </row>
    <row r="2" spans="1:13" ht="27" customHeight="1" x14ac:dyDescent="0.3">
      <c r="B2" s="1094" t="s">
        <v>201</v>
      </c>
      <c r="C2" s="1094"/>
      <c r="F2" s="69"/>
      <c r="G2" s="69"/>
      <c r="H2" s="69"/>
    </row>
    <row r="3" spans="1:13" ht="27" customHeight="1" x14ac:dyDescent="0.3">
      <c r="B3" s="189"/>
      <c r="C3" s="189"/>
    </row>
    <row r="4" spans="1:13" ht="52.2" customHeight="1" x14ac:dyDescent="0.3">
      <c r="B4" s="1098" t="s">
        <v>375</v>
      </c>
      <c r="C4" s="1098"/>
      <c r="D4" s="1098"/>
      <c r="E4" s="1098"/>
      <c r="F4" s="1098"/>
      <c r="G4" s="1098"/>
      <c r="H4" s="1098"/>
      <c r="I4" s="1098"/>
      <c r="J4" s="1098"/>
      <c r="K4" s="1098"/>
      <c r="L4" s="1098"/>
    </row>
    <row r="5" spans="1:13" ht="27" customHeight="1" thickBot="1" x14ac:dyDescent="0.35">
      <c r="B5" s="189"/>
      <c r="C5" s="189"/>
    </row>
    <row r="6" spans="1:13" ht="27" customHeight="1" x14ac:dyDescent="0.4">
      <c r="B6" s="256" t="s">
        <v>865</v>
      </c>
      <c r="C6" s="221"/>
      <c r="D6" s="222"/>
      <c r="E6" s="222"/>
      <c r="F6" s="222"/>
      <c r="G6" s="222"/>
      <c r="H6" s="222"/>
      <c r="I6" s="222"/>
      <c r="J6" s="222"/>
      <c r="K6" s="222"/>
      <c r="L6" s="222"/>
      <c r="M6" s="223"/>
    </row>
    <row r="7" spans="1:13" ht="27" customHeight="1" x14ac:dyDescent="0.4">
      <c r="B7" s="224"/>
      <c r="C7" s="225"/>
      <c r="D7" s="116"/>
      <c r="E7" s="116"/>
      <c r="F7" s="116"/>
      <c r="G7" s="116"/>
      <c r="H7" s="116"/>
      <c r="I7" s="116"/>
      <c r="J7" s="116"/>
      <c r="K7" s="116"/>
      <c r="L7" s="116"/>
      <c r="M7" s="226"/>
    </row>
    <row r="8" spans="1:13" ht="21" x14ac:dyDescent="0.4">
      <c r="B8" s="257" t="s">
        <v>204</v>
      </c>
      <c r="C8" s="225"/>
      <c r="D8" s="116"/>
      <c r="E8" s="119"/>
      <c r="F8" s="119"/>
      <c r="G8" s="119"/>
      <c r="H8" s="119"/>
      <c r="I8" s="116"/>
      <c r="J8" s="116"/>
      <c r="K8" s="116"/>
      <c r="L8" s="116"/>
      <c r="M8" s="226"/>
    </row>
    <row r="9" spans="1:13" ht="21" customHeight="1" x14ac:dyDescent="0.25">
      <c r="B9" s="227"/>
      <c r="C9" s="228" t="s">
        <v>159</v>
      </c>
      <c r="D9" s="119"/>
      <c r="E9" s="119"/>
      <c r="F9" s="229">
        <f>H9*'Gårdens info'!G42</f>
        <v>0</v>
      </c>
      <c r="G9" s="119" t="s">
        <v>57</v>
      </c>
      <c r="H9" s="298">
        <v>0</v>
      </c>
      <c r="I9" s="119" t="s">
        <v>206</v>
      </c>
      <c r="J9" s="229">
        <f>F9*'Gårdens info'!D42</f>
        <v>0</v>
      </c>
      <c r="K9" s="119" t="s">
        <v>866</v>
      </c>
      <c r="L9" s="119"/>
      <c r="M9" s="226"/>
    </row>
    <row r="10" spans="1:13" ht="15" x14ac:dyDescent="0.25">
      <c r="B10" s="227"/>
      <c r="C10" s="119" t="s">
        <v>211</v>
      </c>
      <c r="D10" s="119"/>
      <c r="E10" s="119"/>
      <c r="F10" s="229">
        <f>IF('Gårdens info'!D42&gt;0,Stöd!L14,0)</f>
        <v>0</v>
      </c>
      <c r="G10" s="119" t="s">
        <v>57</v>
      </c>
      <c r="H10" s="298">
        <f>IF('Gårdens info'!G42&gt;0,F10/'Gårdens info'!G42,0)</f>
        <v>0</v>
      </c>
      <c r="I10" s="119" t="s">
        <v>206</v>
      </c>
      <c r="J10" s="229">
        <f>F10*'Gårdens info'!D42</f>
        <v>0</v>
      </c>
      <c r="K10" s="119" t="s">
        <v>866</v>
      </c>
      <c r="L10" s="119"/>
      <c r="M10" s="226"/>
    </row>
    <row r="11" spans="1:13" s="5" customFormat="1" ht="21" customHeight="1" x14ac:dyDescent="0.4">
      <c r="A11" s="564"/>
      <c r="B11" s="1061" t="s">
        <v>214</v>
      </c>
      <c r="C11" s="1043"/>
      <c r="D11" s="1043"/>
      <c r="E11" s="262"/>
      <c r="F11" s="266">
        <f>F9+F10</f>
        <v>0</v>
      </c>
      <c r="G11" s="267" t="s">
        <v>57</v>
      </c>
      <c r="H11" s="268">
        <f>H9+H10</f>
        <v>0</v>
      </c>
      <c r="I11" s="267" t="s">
        <v>206</v>
      </c>
      <c r="J11" s="269">
        <f>J9+J10</f>
        <v>0</v>
      </c>
      <c r="K11" s="267" t="s">
        <v>866</v>
      </c>
      <c r="L11" s="267"/>
      <c r="M11" s="259"/>
    </row>
    <row r="12" spans="1:13" s="5" customFormat="1" ht="21" x14ac:dyDescent="0.4">
      <c r="A12" s="564"/>
      <c r="B12" s="288"/>
      <c r="C12" s="270"/>
      <c r="D12" s="270"/>
      <c r="E12" s="262"/>
      <c r="F12" s="266"/>
      <c r="G12" s="267"/>
      <c r="H12" s="268"/>
      <c r="I12" s="267"/>
      <c r="J12" s="269"/>
      <c r="K12" s="267"/>
      <c r="L12" s="267"/>
      <c r="M12" s="259"/>
    </row>
    <row r="13" spans="1:13" ht="22.2" customHeight="1" x14ac:dyDescent="0.3">
      <c r="B13" s="231"/>
      <c r="C13" s="225"/>
      <c r="D13" s="116"/>
      <c r="E13" s="116"/>
      <c r="F13" s="116"/>
      <c r="G13" s="116"/>
      <c r="H13" s="116"/>
      <c r="I13" s="116"/>
      <c r="J13" s="232"/>
      <c r="K13" s="116"/>
      <c r="L13" s="116"/>
      <c r="M13" s="226"/>
    </row>
    <row r="14" spans="1:13" ht="21" x14ac:dyDescent="0.4">
      <c r="B14" s="257" t="s">
        <v>186</v>
      </c>
      <c r="C14" s="225"/>
      <c r="D14" s="116"/>
      <c r="E14" s="116"/>
      <c r="F14" s="116"/>
      <c r="G14" s="116"/>
      <c r="H14" s="116"/>
      <c r="I14" s="116"/>
      <c r="J14" s="232"/>
      <c r="K14" s="116"/>
      <c r="L14" s="116"/>
      <c r="M14" s="226"/>
    </row>
    <row r="15" spans="1:13" s="56" customFormat="1" ht="16.95" customHeight="1" x14ac:dyDescent="0.3">
      <c r="A15" s="565"/>
      <c r="B15" s="493"/>
      <c r="C15" s="245"/>
      <c r="D15" s="249"/>
      <c r="E15" s="249"/>
      <c r="F15" s="250"/>
      <c r="G15" s="120"/>
      <c r="H15" s="249"/>
      <c r="I15" s="249"/>
      <c r="J15" s="249"/>
      <c r="K15" s="249"/>
      <c r="L15" s="249"/>
      <c r="M15" s="234"/>
    </row>
    <row r="16" spans="1:13" s="69" customFormat="1" ht="16.95" customHeight="1" x14ac:dyDescent="0.25">
      <c r="A16" s="565"/>
      <c r="B16" s="493"/>
      <c r="C16" s="228" t="s">
        <v>218</v>
      </c>
      <c r="D16" s="236"/>
      <c r="E16" s="236"/>
      <c r="F16" s="247">
        <f>IF('Gårdens info'!D42&gt;0,J71,0)</f>
        <v>0</v>
      </c>
      <c r="G16" s="119" t="s">
        <v>57</v>
      </c>
      <c r="H16" s="238">
        <f>IF('Gårdens info'!G42&gt;0,F16/'Gårdens info'!$G$28,0)</f>
        <v>0</v>
      </c>
      <c r="I16" s="119" t="s">
        <v>206</v>
      </c>
      <c r="J16" s="237">
        <f>F16*'Gårdens info'!$D$42</f>
        <v>0</v>
      </c>
      <c r="K16" s="119" t="s">
        <v>866</v>
      </c>
      <c r="L16" s="236"/>
      <c r="M16" s="239"/>
    </row>
    <row r="17" spans="1:29" s="69" customFormat="1" ht="15" x14ac:dyDescent="0.25">
      <c r="A17" s="565"/>
      <c r="B17" s="235"/>
      <c r="C17" s="228" t="s">
        <v>219</v>
      </c>
      <c r="D17" s="236"/>
      <c r="E17" s="236"/>
      <c r="F17" s="237">
        <f>IF('Gårdens info'!D42&gt;0,J79,0)</f>
        <v>0</v>
      </c>
      <c r="G17" s="119" t="s">
        <v>57</v>
      </c>
      <c r="H17" s="238">
        <f>IF('Gårdens info'!G42&gt;0,F17/'Gårdens info'!$G$28,0)</f>
        <v>0</v>
      </c>
      <c r="I17" s="119" t="s">
        <v>206</v>
      </c>
      <c r="J17" s="237">
        <f>F17*'Gårdens info'!$D$42</f>
        <v>0</v>
      </c>
      <c r="K17" s="119" t="s">
        <v>866</v>
      </c>
      <c r="L17" s="236"/>
      <c r="M17" s="239"/>
    </row>
    <row r="18" spans="1:29" s="69" customFormat="1" ht="15" x14ac:dyDescent="0.25">
      <c r="A18" s="565"/>
      <c r="B18" s="235"/>
      <c r="C18" s="228" t="s">
        <v>220</v>
      </c>
      <c r="D18" s="236"/>
      <c r="E18" s="236"/>
      <c r="F18" s="237">
        <f>IF('Gårdens info'!D42&gt;0,J94,0)</f>
        <v>0</v>
      </c>
      <c r="G18" s="119" t="s">
        <v>57</v>
      </c>
      <c r="H18" s="238">
        <f>IF('Gårdens info'!G42&gt;0,F18/'Gårdens info'!$G$28,0)</f>
        <v>0</v>
      </c>
      <c r="I18" s="119" t="s">
        <v>206</v>
      </c>
      <c r="J18" s="237">
        <f>F18*'Gårdens info'!$D$42</f>
        <v>0</v>
      </c>
      <c r="K18" s="119" t="s">
        <v>866</v>
      </c>
      <c r="L18" s="236"/>
      <c r="M18" s="239"/>
    </row>
    <row r="19" spans="1:29" s="69" customFormat="1" ht="15" x14ac:dyDescent="0.25">
      <c r="A19" s="565"/>
      <c r="B19" s="235"/>
      <c r="C19" s="228" t="s">
        <v>568</v>
      </c>
      <c r="D19" s="236"/>
      <c r="E19" s="236"/>
      <c r="F19" s="237">
        <f>IF('Gårdens info'!D42&gt;0,J102,0)</f>
        <v>0</v>
      </c>
      <c r="G19" s="119" t="s">
        <v>57</v>
      </c>
      <c r="H19" s="238">
        <f>IF('Gårdens info'!G42&gt;0,F19/'Gårdens info'!$G$28,0)</f>
        <v>0</v>
      </c>
      <c r="I19" s="119" t="s">
        <v>206</v>
      </c>
      <c r="J19" s="237">
        <f>F19*'Gårdens info'!$D$42</f>
        <v>0</v>
      </c>
      <c r="K19" s="119" t="s">
        <v>866</v>
      </c>
      <c r="L19" s="236"/>
      <c r="M19" s="239"/>
    </row>
    <row r="20" spans="1:29" s="69" customFormat="1" ht="15" x14ac:dyDescent="0.25">
      <c r="A20" s="565"/>
      <c r="B20" s="235"/>
      <c r="C20" s="228" t="s">
        <v>224</v>
      </c>
      <c r="D20" s="236"/>
      <c r="E20" s="236"/>
      <c r="F20" s="237">
        <f>IF('Gårdens info'!D42&gt;0,J114,0)</f>
        <v>0</v>
      </c>
      <c r="G20" s="119" t="s">
        <v>57</v>
      </c>
      <c r="H20" s="238">
        <f>IF('Gårdens info'!G42&gt;0,F20/'Gårdens info'!$G$28,0)</f>
        <v>0</v>
      </c>
      <c r="I20" s="119" t="s">
        <v>206</v>
      </c>
      <c r="J20" s="237">
        <f>F20*'Gårdens info'!$D$42</f>
        <v>0</v>
      </c>
      <c r="K20" s="119" t="s">
        <v>866</v>
      </c>
      <c r="L20" s="236"/>
      <c r="M20" s="239"/>
    </row>
    <row r="21" spans="1:29" s="69" customFormat="1" ht="15" x14ac:dyDescent="0.25">
      <c r="A21" s="565"/>
      <c r="B21" s="235"/>
      <c r="C21" s="228" t="s">
        <v>817</v>
      </c>
      <c r="D21" s="236"/>
      <c r="E21" s="236"/>
      <c r="F21" s="237">
        <f>IF('Gårdens info'!D42&gt;0,L130,0)</f>
        <v>0</v>
      </c>
      <c r="G21" s="119" t="s">
        <v>57</v>
      </c>
      <c r="H21" s="238">
        <f>IF('Gårdens info'!G42&gt;0,F21/'Gårdens info'!$G$28,0)</f>
        <v>0</v>
      </c>
      <c r="I21" s="119" t="s">
        <v>206</v>
      </c>
      <c r="J21" s="237">
        <f>F21*'Gårdens info'!$D$42</f>
        <v>0</v>
      </c>
      <c r="K21" s="119" t="s">
        <v>866</v>
      </c>
      <c r="L21" s="236"/>
      <c r="M21" s="239"/>
    </row>
    <row r="22" spans="1:29" ht="15.6" x14ac:dyDescent="0.3">
      <c r="B22" s="251"/>
      <c r="C22" s="240" t="s">
        <v>54</v>
      </c>
      <c r="D22" s="241"/>
      <c r="E22" s="241"/>
      <c r="F22" s="242">
        <f>SUM(F16:F21)</f>
        <v>0</v>
      </c>
      <c r="G22" s="243" t="s">
        <v>57</v>
      </c>
      <c r="H22" s="244">
        <f>SUM(H16:H21)</f>
        <v>0</v>
      </c>
      <c r="I22" s="243" t="s">
        <v>206</v>
      </c>
      <c r="J22" s="242">
        <f>SUM(J16:J21)</f>
        <v>0</v>
      </c>
      <c r="K22" s="243" t="s">
        <v>866</v>
      </c>
      <c r="L22" s="241"/>
      <c r="M22" s="252"/>
      <c r="N22" s="69"/>
      <c r="O22" s="69"/>
      <c r="P22" s="69"/>
      <c r="Q22" s="69"/>
      <c r="R22" s="69"/>
      <c r="S22" s="69"/>
      <c r="T22" s="69"/>
      <c r="U22" s="69"/>
    </row>
    <row r="23" spans="1:29" s="56" customFormat="1" ht="17.399999999999999" x14ac:dyDescent="0.3">
      <c r="A23" s="566"/>
      <c r="B23" s="231"/>
      <c r="C23" s="245"/>
      <c r="D23" s="246"/>
      <c r="E23" s="246"/>
      <c r="F23" s="247"/>
      <c r="G23" s="119"/>
      <c r="H23" s="246"/>
      <c r="I23" s="246"/>
      <c r="J23" s="246"/>
      <c r="K23" s="246"/>
      <c r="L23" s="246"/>
      <c r="M23" s="226"/>
      <c r="N23" s="69"/>
      <c r="O23" s="69"/>
      <c r="P23" s="69"/>
      <c r="R23" s="69"/>
      <c r="S23" s="69"/>
      <c r="T23" s="69"/>
      <c r="U23" s="69"/>
    </row>
    <row r="24" spans="1:29" s="69" customFormat="1" ht="17.399999999999999" x14ac:dyDescent="0.3">
      <c r="A24" s="565"/>
      <c r="B24" s="1081" t="s">
        <v>867</v>
      </c>
      <c r="C24" s="1082"/>
      <c r="D24" s="1082"/>
      <c r="E24" s="1082"/>
      <c r="F24" s="263">
        <f>IF('Gårdens info'!D42&gt;0,J24/'Gårdens info'!D42,0)</f>
        <v>0</v>
      </c>
      <c r="G24" s="243" t="s">
        <v>57</v>
      </c>
      <c r="H24" s="264">
        <f>IF('Gårdens info'!G42&gt;0,F24/'Gårdens info'!G28,0)</f>
        <v>0</v>
      </c>
      <c r="I24" s="243" t="s">
        <v>206</v>
      </c>
      <c r="J24" s="514">
        <f>'Gårdens info'!G163/'Gårdens info'!D49*'Gårdens info'!D41</f>
        <v>0</v>
      </c>
      <c r="K24" s="243" t="s">
        <v>866</v>
      </c>
      <c r="L24" s="265"/>
      <c r="M24" s="259"/>
      <c r="N24"/>
      <c r="O24"/>
      <c r="P24"/>
      <c r="S24"/>
      <c r="T24"/>
      <c r="U24"/>
      <c r="AB24" s="382" t="str">
        <f>C17</f>
        <v>Gödsel och kalk</v>
      </c>
      <c r="AC24" s="383">
        <f>H17</f>
        <v>0</v>
      </c>
    </row>
    <row r="25" spans="1:29" s="69" customFormat="1" ht="17.399999999999999" x14ac:dyDescent="0.3">
      <c r="A25" s="565"/>
      <c r="B25" s="1091" t="s">
        <v>868</v>
      </c>
      <c r="C25" s="1092"/>
      <c r="D25" s="1092"/>
      <c r="E25" s="1092"/>
      <c r="F25" s="263">
        <f>IF('Gårdens info'!D42&gt;0,J25/'Gårdens info'!D42,0)</f>
        <v>0</v>
      </c>
      <c r="G25" s="243" t="s">
        <v>57</v>
      </c>
      <c r="H25" s="264">
        <f>IF('Gårdens info'!G42&gt;0,F25/'Gårdens info'!G41,0)</f>
        <v>0</v>
      </c>
      <c r="I25" s="243" t="s">
        <v>206</v>
      </c>
      <c r="J25" s="514">
        <f>'Gårdens info'!$D$48/'Gårdens info'!$D$49*'Gårdens info'!$G$48*'Gårdens info'!D42</f>
        <v>0</v>
      </c>
      <c r="K25" s="243" t="s">
        <v>866</v>
      </c>
      <c r="L25" s="265"/>
      <c r="M25" s="259"/>
      <c r="N25" s="56"/>
      <c r="O25" s="56"/>
      <c r="P25" s="56"/>
      <c r="S25" s="56"/>
      <c r="T25" s="56"/>
      <c r="U25" s="56"/>
      <c r="AB25" s="382" t="str">
        <f>C18</f>
        <v>IPM Växtskydd</v>
      </c>
      <c r="AC25" s="383">
        <f>H18</f>
        <v>0</v>
      </c>
    </row>
    <row r="26" spans="1:29" s="69" customFormat="1" ht="21" customHeight="1" x14ac:dyDescent="0.4">
      <c r="A26" s="565"/>
      <c r="B26" s="1061" t="s">
        <v>189</v>
      </c>
      <c r="C26" s="1043"/>
      <c r="D26" s="1043"/>
      <c r="E26" s="262"/>
      <c r="F26" s="266">
        <f>F22+F24+F25</f>
        <v>0</v>
      </c>
      <c r="G26" s="267" t="s">
        <v>57</v>
      </c>
      <c r="H26" s="268">
        <f>H22+H24+H25</f>
        <v>0</v>
      </c>
      <c r="I26" s="267" t="s">
        <v>206</v>
      </c>
      <c r="J26" s="269">
        <f>J22+J24+J25</f>
        <v>0</v>
      </c>
      <c r="K26" s="267" t="s">
        <v>866</v>
      </c>
      <c r="L26" s="267"/>
      <c r="M26" s="259"/>
      <c r="AB26" s="382" t="str">
        <f t="shared" ref="AB26:AB28" si="0">C19</f>
        <v>Maskinhyra och entreprenad</v>
      </c>
      <c r="AC26" s="383">
        <f t="shared" ref="AC26:AC28" si="1">H19</f>
        <v>0</v>
      </c>
    </row>
    <row r="27" spans="1:29" s="69" customFormat="1" ht="21" x14ac:dyDescent="0.4">
      <c r="A27" s="565"/>
      <c r="B27" s="288"/>
      <c r="C27" s="270"/>
      <c r="D27" s="270"/>
      <c r="E27" s="262"/>
      <c r="F27" s="266"/>
      <c r="G27" s="267"/>
      <c r="H27" s="268"/>
      <c r="I27" s="267"/>
      <c r="J27" s="269"/>
      <c r="K27" s="267"/>
      <c r="L27" s="267"/>
      <c r="M27" s="259"/>
      <c r="AB27" s="382" t="str">
        <f t="shared" si="0"/>
        <v>Energikostnader</v>
      </c>
      <c r="AC27" s="383">
        <f t="shared" si="1"/>
        <v>0</v>
      </c>
    </row>
    <row r="28" spans="1:29" s="69" customFormat="1" ht="21" x14ac:dyDescent="0.4">
      <c r="A28" s="565"/>
      <c r="B28" s="257" t="s">
        <v>869</v>
      </c>
      <c r="C28" s="225"/>
      <c r="D28" s="116"/>
      <c r="E28" s="116"/>
      <c r="F28" s="116"/>
      <c r="G28" s="116"/>
      <c r="H28" s="116"/>
      <c r="I28" s="116"/>
      <c r="J28" s="232"/>
      <c r="K28" s="116"/>
      <c r="L28" s="116"/>
      <c r="M28" s="226"/>
      <c r="AB28" s="382" t="str">
        <f t="shared" si="0"/>
        <v xml:space="preserve">Anställd arbetskraft </v>
      </c>
      <c r="AC28" s="383">
        <f t="shared" si="1"/>
        <v>0</v>
      </c>
    </row>
    <row r="29" spans="1:29" s="69" customFormat="1" ht="21" x14ac:dyDescent="0.4">
      <c r="A29" s="565"/>
      <c r="B29" s="1081" t="s">
        <v>69</v>
      </c>
      <c r="C29" s="1082"/>
      <c r="D29" s="270"/>
      <c r="E29" s="262"/>
      <c r="F29" s="266"/>
      <c r="G29" s="267"/>
      <c r="H29" s="268"/>
      <c r="I29" s="267"/>
      <c r="J29" s="269"/>
      <c r="K29" s="267"/>
      <c r="L29" s="267"/>
      <c r="M29" s="259"/>
      <c r="AB29" s="384" t="s">
        <v>464</v>
      </c>
      <c r="AC29" s="384">
        <f>H24</f>
        <v>0</v>
      </c>
    </row>
    <row r="30" spans="1:29" s="69" customFormat="1" ht="21" x14ac:dyDescent="0.4">
      <c r="A30" s="565"/>
      <c r="B30" s="287"/>
      <c r="C30" s="274" t="s">
        <v>229</v>
      </c>
      <c r="D30" s="270"/>
      <c r="E30" s="262"/>
      <c r="F30" s="276">
        <f>IF('Gårdens info'!$D$42&gt;0,J30/'Gårdens info'!$D$42,0)</f>
        <v>0</v>
      </c>
      <c r="G30" s="119" t="s">
        <v>57</v>
      </c>
      <c r="H30" s="277">
        <f>IF('Gårdens info'!G42&gt;0,F30/'Gårdens info'!$G$28,0)</f>
        <v>0</v>
      </c>
      <c r="I30" s="119" t="s">
        <v>206</v>
      </c>
      <c r="J30" s="237">
        <f>Egendom!BH25</f>
        <v>0</v>
      </c>
      <c r="K30" s="119" t="s">
        <v>866</v>
      </c>
      <c r="L30" s="267"/>
      <c r="M30" s="259"/>
      <c r="AB30" s="382" t="s">
        <v>465</v>
      </c>
      <c r="AC30" s="384">
        <f>H25</f>
        <v>0</v>
      </c>
    </row>
    <row r="31" spans="1:29" s="192" customFormat="1" ht="21" x14ac:dyDescent="0.4">
      <c r="A31" s="567"/>
      <c r="B31" s="287"/>
      <c r="C31" s="274" t="s">
        <v>230</v>
      </c>
      <c r="D31" s="270"/>
      <c r="E31" s="262"/>
      <c r="F31" s="276">
        <f>IF('Gårdens info'!$D$42&gt;0,J31/'Gårdens info'!$D$42,0)</f>
        <v>0</v>
      </c>
      <c r="G31" s="119" t="s">
        <v>57</v>
      </c>
      <c r="H31" s="277">
        <f>IF('Gårdens info'!G42&gt;0,F31/'Gårdens info'!$G$28,0)</f>
        <v>0</v>
      </c>
      <c r="I31" s="119" t="s">
        <v>206</v>
      </c>
      <c r="J31" s="237">
        <f>Egendom!CF25</f>
        <v>0</v>
      </c>
      <c r="K31" s="119" t="s">
        <v>866</v>
      </c>
      <c r="L31" s="267"/>
      <c r="M31" s="259"/>
      <c r="N31" s="69"/>
      <c r="O31" s="69"/>
      <c r="P31" s="69"/>
      <c r="S31" s="69"/>
      <c r="T31" s="69"/>
      <c r="U31" s="69"/>
      <c r="AB31" s="382" t="s">
        <v>466</v>
      </c>
      <c r="AC31" s="385">
        <f>H34</f>
        <v>0</v>
      </c>
    </row>
    <row r="32" spans="1:29" ht="17.399999999999999" customHeight="1" x14ac:dyDescent="0.3">
      <c r="B32" s="287"/>
      <c r="C32" s="1083" t="s">
        <v>232</v>
      </c>
      <c r="D32" s="1083"/>
      <c r="E32" s="262"/>
      <c r="F32" s="276">
        <f>IF('Gårdens info'!$D$42&gt;0,J32/'Gårdens info'!$D$42,0)</f>
        <v>0</v>
      </c>
      <c r="G32" s="119" t="s">
        <v>57</v>
      </c>
      <c r="H32" s="277">
        <f>IF('Gårdens info'!G42&gt;0,F32/'Gårdens info'!$G$28,0)</f>
        <v>0</v>
      </c>
      <c r="I32" s="119" t="s">
        <v>206</v>
      </c>
      <c r="J32" s="237">
        <f>Egendom!DD25</f>
        <v>0</v>
      </c>
      <c r="K32" s="119" t="s">
        <v>866</v>
      </c>
      <c r="L32" s="267"/>
      <c r="M32" s="259"/>
      <c r="N32" s="69"/>
      <c r="O32" s="69"/>
      <c r="P32" s="69"/>
      <c r="S32" s="69"/>
      <c r="T32" s="69"/>
      <c r="U32" s="69"/>
      <c r="AB32" s="382" t="s">
        <v>467</v>
      </c>
      <c r="AC32" s="386">
        <f>H41</f>
        <v>0</v>
      </c>
    </row>
    <row r="33" spans="1:29" ht="21" x14ac:dyDescent="0.4">
      <c r="B33" s="287"/>
      <c r="C33" s="274" t="s">
        <v>234</v>
      </c>
      <c r="D33" s="270"/>
      <c r="E33" s="262"/>
      <c r="F33" s="276">
        <f>IF('Gårdens info'!$D$42&gt;0,J33/'Gårdens info'!$D$42,0)</f>
        <v>0</v>
      </c>
      <c r="G33" s="119" t="s">
        <v>57</v>
      </c>
      <c r="H33" s="277">
        <f>IF('Gårdens info'!G42&gt;0,F33/'Gårdens info'!$G$28,0)</f>
        <v>0</v>
      </c>
      <c r="I33" s="119" t="s">
        <v>206</v>
      </c>
      <c r="J33" s="237">
        <f>Egendom!EB25</f>
        <v>0</v>
      </c>
      <c r="K33" s="119" t="s">
        <v>866</v>
      </c>
      <c r="L33" s="267"/>
      <c r="M33" s="259"/>
      <c r="N33" s="192"/>
      <c r="O33" s="192"/>
      <c r="P33" s="192"/>
      <c r="S33" s="192"/>
      <c r="T33" s="192"/>
      <c r="U33" s="192"/>
      <c r="AB33" s="382" t="s">
        <v>468</v>
      </c>
      <c r="AC33" s="386">
        <f>H48</f>
        <v>0</v>
      </c>
    </row>
    <row r="34" spans="1:29" ht="20.399999999999999" x14ac:dyDescent="0.35">
      <c r="B34" s="289"/>
      <c r="C34" s="278" t="s">
        <v>54</v>
      </c>
      <c r="D34" s="279"/>
      <c r="E34" s="262"/>
      <c r="F34" s="280">
        <f>SUM(F30:F33)</f>
        <v>0</v>
      </c>
      <c r="G34" s="119" t="s">
        <v>57</v>
      </c>
      <c r="H34" s="285">
        <f t="shared" ref="H34:J34" si="2">SUM(H30:H33)</f>
        <v>0</v>
      </c>
      <c r="I34" s="119" t="s">
        <v>206</v>
      </c>
      <c r="J34" s="280">
        <f t="shared" si="2"/>
        <v>0</v>
      </c>
      <c r="K34" s="119" t="s">
        <v>866</v>
      </c>
      <c r="L34" s="281"/>
      <c r="M34" s="259"/>
      <c r="AB34" s="382" t="s">
        <v>469</v>
      </c>
      <c r="AC34" s="386">
        <f>H54</f>
        <v>0</v>
      </c>
    </row>
    <row r="35" spans="1:29" s="69" customFormat="1" ht="21" x14ac:dyDescent="0.4">
      <c r="A35" s="565"/>
      <c r="B35" s="287"/>
      <c r="C35" s="274"/>
      <c r="D35" s="270"/>
      <c r="E35" s="262"/>
      <c r="F35" s="276"/>
      <c r="G35" s="119"/>
      <c r="H35" s="277"/>
      <c r="I35" s="119"/>
      <c r="J35" s="237"/>
      <c r="K35" s="119"/>
      <c r="L35" s="267"/>
      <c r="M35" s="259"/>
      <c r="N35"/>
      <c r="O35"/>
      <c r="P35"/>
      <c r="S35"/>
      <c r="T35"/>
      <c r="U35"/>
      <c r="AB35" s="382" t="s">
        <v>470</v>
      </c>
      <c r="AC35" s="384">
        <f>H60</f>
        <v>0</v>
      </c>
    </row>
    <row r="36" spans="1:29" s="69" customFormat="1" ht="17.399999999999999" x14ac:dyDescent="0.3">
      <c r="A36" s="565"/>
      <c r="B36" s="1081" t="s">
        <v>83</v>
      </c>
      <c r="C36" s="1082"/>
      <c r="D36" s="1082"/>
      <c r="E36" s="262"/>
      <c r="F36" s="276"/>
      <c r="G36" s="119"/>
      <c r="H36" s="277"/>
      <c r="I36" s="119"/>
      <c r="J36" s="237"/>
      <c r="K36" s="119"/>
      <c r="L36" s="267"/>
      <c r="M36" s="259"/>
      <c r="N36"/>
      <c r="O36"/>
      <c r="P36"/>
      <c r="S36"/>
      <c r="T36"/>
      <c r="U36"/>
      <c r="AB36" s="5"/>
      <c r="AC36" s="5"/>
    </row>
    <row r="37" spans="1:29" s="69" customFormat="1" ht="21" x14ac:dyDescent="0.4">
      <c r="A37" s="565"/>
      <c r="B37" s="287"/>
      <c r="C37" s="274" t="s">
        <v>229</v>
      </c>
      <c r="D37" s="270"/>
      <c r="E37" s="262"/>
      <c r="F37" s="276">
        <f>IF('Gårdens info'!$D$42&gt;0,J37/'Gårdens info'!$D$42,0)</f>
        <v>0</v>
      </c>
      <c r="G37" s="119" t="s">
        <v>57</v>
      </c>
      <c r="H37" s="277">
        <f>IF('Gårdens info'!G42&gt;0,F37/'Gårdens info'!$G$28,0)</f>
        <v>0</v>
      </c>
      <c r="I37" s="119" t="s">
        <v>206</v>
      </c>
      <c r="J37" s="237">
        <f>Egendom!BH61</f>
        <v>0</v>
      </c>
      <c r="K37" s="119" t="s">
        <v>866</v>
      </c>
      <c r="L37" s="267"/>
      <c r="M37" s="259"/>
      <c r="AB37" s="5"/>
      <c r="AC37" s="5"/>
    </row>
    <row r="38" spans="1:29" s="5" customFormat="1" ht="21" x14ac:dyDescent="0.4">
      <c r="A38" s="564"/>
      <c r="B38" s="287"/>
      <c r="C38" s="274" t="s">
        <v>230</v>
      </c>
      <c r="D38" s="270"/>
      <c r="E38" s="262"/>
      <c r="F38" s="276">
        <f>IF('Gårdens info'!$D$42&gt;0,J38/'Gårdens info'!$D$42,0)</f>
        <v>0</v>
      </c>
      <c r="G38" s="119" t="s">
        <v>57</v>
      </c>
      <c r="H38" s="277">
        <f>IF('Gårdens info'!G42&gt;0,F38/'Gårdens info'!$G$28,0)</f>
        <v>0</v>
      </c>
      <c r="I38" s="119" t="s">
        <v>206</v>
      </c>
      <c r="J38" s="237">
        <f>Egendom!CF61</f>
        <v>0</v>
      </c>
      <c r="K38" s="119" t="s">
        <v>866</v>
      </c>
      <c r="L38" s="267"/>
      <c r="M38" s="259"/>
      <c r="N38" s="69"/>
      <c r="O38" s="69"/>
      <c r="P38" s="69"/>
      <c r="Q38" s="69"/>
      <c r="R38" s="69"/>
      <c r="S38" s="69"/>
      <c r="T38" s="69"/>
      <c r="U38" s="69"/>
    </row>
    <row r="39" spans="1:29" s="5" customFormat="1" ht="17.399999999999999" customHeight="1" x14ac:dyDescent="0.3">
      <c r="A39" s="564"/>
      <c r="B39" s="287"/>
      <c r="C39" s="1083" t="s">
        <v>232</v>
      </c>
      <c r="D39" s="1083"/>
      <c r="E39" s="262"/>
      <c r="F39" s="276">
        <f>IF('Gårdens info'!$D$42&gt;0,J39/'Gårdens info'!$D$42,0)</f>
        <v>0</v>
      </c>
      <c r="G39" s="119" t="s">
        <v>57</v>
      </c>
      <c r="H39" s="277">
        <f>IF('Gårdens info'!G42&gt;0,F39/'Gårdens info'!$G$28,0)</f>
        <v>0</v>
      </c>
      <c r="I39" s="119" t="s">
        <v>206</v>
      </c>
      <c r="J39" s="237" t="e">
        <f>Egendom!DD61</f>
        <v>#DIV/0!</v>
      </c>
      <c r="K39" s="119" t="s">
        <v>866</v>
      </c>
      <c r="L39" s="267"/>
      <c r="M39" s="259"/>
      <c r="N39" s="69"/>
      <c r="O39" s="69"/>
      <c r="P39" s="69"/>
      <c r="Q39" s="69"/>
      <c r="R39" s="69"/>
      <c r="S39" s="69"/>
      <c r="T39" s="69"/>
      <c r="U39" s="69"/>
    </row>
    <row r="40" spans="1:29" s="5" customFormat="1" ht="21" x14ac:dyDescent="0.4">
      <c r="A40" s="564"/>
      <c r="B40" s="287"/>
      <c r="C40" s="274" t="s">
        <v>234</v>
      </c>
      <c r="D40" s="270"/>
      <c r="E40" s="262"/>
      <c r="F40" s="276">
        <f>IF('Gårdens info'!$D$42&gt;0,J40/'Gårdens info'!$D$42,0)</f>
        <v>0</v>
      </c>
      <c r="G40" s="119" t="s">
        <v>57</v>
      </c>
      <c r="H40" s="277">
        <f>IF('Gårdens info'!G42&gt;0,F40/'Gårdens info'!$G$28,0)</f>
        <v>0</v>
      </c>
      <c r="I40" s="119" t="s">
        <v>206</v>
      </c>
      <c r="J40" s="237" t="e">
        <f>Egendom!EB61</f>
        <v>#DIV/0!</v>
      </c>
      <c r="K40" s="119" t="s">
        <v>866</v>
      </c>
      <c r="L40" s="267"/>
      <c r="M40" s="259"/>
    </row>
    <row r="41" spans="1:29" s="5" customFormat="1" ht="20.399999999999999" x14ac:dyDescent="0.35">
      <c r="A41" s="564"/>
      <c r="B41" s="289"/>
      <c r="C41" s="278" t="s">
        <v>54</v>
      </c>
      <c r="D41" s="279"/>
      <c r="E41" s="262"/>
      <c r="F41" s="280">
        <f>SUM(F37:F40)</f>
        <v>0</v>
      </c>
      <c r="G41" s="119" t="s">
        <v>57</v>
      </c>
      <c r="H41" s="285">
        <f t="shared" ref="H41:J41" si="3">SUM(H37:H40)</f>
        <v>0</v>
      </c>
      <c r="I41" s="119" t="s">
        <v>206</v>
      </c>
      <c r="J41" s="280" t="e">
        <f t="shared" si="3"/>
        <v>#DIV/0!</v>
      </c>
      <c r="K41" s="119" t="s">
        <v>866</v>
      </c>
      <c r="L41" s="281"/>
      <c r="M41" s="259"/>
    </row>
    <row r="42" spans="1:29" s="5" customFormat="1" ht="21" x14ac:dyDescent="0.4">
      <c r="A42" s="564"/>
      <c r="B42" s="287"/>
      <c r="C42" s="274"/>
      <c r="D42" s="270"/>
      <c r="E42" s="262"/>
      <c r="F42" s="276"/>
      <c r="G42" s="119"/>
      <c r="H42" s="277"/>
      <c r="I42" s="119"/>
      <c r="J42" s="237"/>
      <c r="K42" s="119"/>
      <c r="L42" s="267"/>
      <c r="M42" s="259"/>
      <c r="AB42"/>
      <c r="AC42"/>
    </row>
    <row r="43" spans="1:29" s="5" customFormat="1" ht="43.2" customHeight="1" x14ac:dyDescent="0.3">
      <c r="A43" s="564"/>
      <c r="B43" s="1081" t="s">
        <v>355</v>
      </c>
      <c r="C43" s="1082"/>
      <c r="D43" s="1082"/>
      <c r="E43" s="262"/>
      <c r="F43" s="276"/>
      <c r="G43" s="119"/>
      <c r="H43" s="277"/>
      <c r="I43" s="119"/>
      <c r="J43" s="237"/>
      <c r="K43" s="119"/>
      <c r="L43" s="267"/>
      <c r="M43" s="259"/>
    </row>
    <row r="44" spans="1:29" ht="21" x14ac:dyDescent="0.4">
      <c r="B44" s="287"/>
      <c r="C44" s="274" t="s">
        <v>229</v>
      </c>
      <c r="D44" s="270"/>
      <c r="E44" s="262"/>
      <c r="F44" s="276">
        <f>IF('Gårdens info'!$D$42&gt;0,J44/'Gårdens info'!$D$42,0)</f>
        <v>0</v>
      </c>
      <c r="G44" s="119" t="s">
        <v>57</v>
      </c>
      <c r="H44" s="277">
        <f>IF('Gårdens info'!G42&gt;0,F44/'Gårdens info'!$G$28,0)</f>
        <v>0</v>
      </c>
      <c r="I44" s="119" t="s">
        <v>206</v>
      </c>
      <c r="J44" s="237">
        <f>Egendom!BH90</f>
        <v>0</v>
      </c>
      <c r="K44" s="119" t="s">
        <v>866</v>
      </c>
      <c r="L44" s="267"/>
      <c r="M44" s="259"/>
      <c r="N44" s="5"/>
      <c r="O44" s="5"/>
      <c r="P44" s="5"/>
      <c r="Q44" s="5"/>
      <c r="R44" s="5"/>
      <c r="S44" s="5"/>
      <c r="T44" s="5"/>
      <c r="U44" s="5"/>
      <c r="AB44" s="5"/>
      <c r="AC44" s="5"/>
    </row>
    <row r="45" spans="1:29" s="5" customFormat="1" ht="21" x14ac:dyDescent="0.4">
      <c r="A45" s="564"/>
      <c r="B45" s="287"/>
      <c r="C45" s="274" t="s">
        <v>230</v>
      </c>
      <c r="D45" s="270"/>
      <c r="E45" s="262"/>
      <c r="F45" s="276">
        <f>IF('Gårdens info'!$D$42&gt;0,J45/'Gårdens info'!$D$42,0)</f>
        <v>0</v>
      </c>
      <c r="G45" s="119" t="s">
        <v>57</v>
      </c>
      <c r="H45" s="277">
        <f>IF('Gårdens info'!G42&gt;0,F45/'Gårdens info'!$G$28,0)</f>
        <v>0</v>
      </c>
      <c r="I45" s="119" t="s">
        <v>206</v>
      </c>
      <c r="J45" s="237">
        <f>Egendom!CF90</f>
        <v>0</v>
      </c>
      <c r="K45" s="119" t="s">
        <v>866</v>
      </c>
      <c r="L45" s="267"/>
      <c r="M45" s="259"/>
    </row>
    <row r="46" spans="1:29" s="5" customFormat="1" ht="17.399999999999999" customHeight="1" x14ac:dyDescent="0.3">
      <c r="A46" s="564"/>
      <c r="B46" s="287"/>
      <c r="C46" s="1083" t="s">
        <v>232</v>
      </c>
      <c r="D46" s="1083"/>
      <c r="E46" s="262"/>
      <c r="F46" s="276">
        <f>IF('Gårdens info'!$D$42&gt;0,J46/'Gårdens info'!$D$42,0)</f>
        <v>0</v>
      </c>
      <c r="G46" s="119" t="s">
        <v>57</v>
      </c>
      <c r="H46" s="277">
        <f>IF('Gårdens info'!G42&gt;0,F46/'Gårdens info'!$G$28,0)</f>
        <v>0</v>
      </c>
      <c r="I46" s="119" t="s">
        <v>206</v>
      </c>
      <c r="J46" s="237">
        <f>Egendom!DD90</f>
        <v>0</v>
      </c>
      <c r="K46" s="119" t="s">
        <v>866</v>
      </c>
      <c r="L46" s="267"/>
      <c r="M46" s="259"/>
      <c r="N46"/>
      <c r="O46"/>
      <c r="P46"/>
      <c r="Q46"/>
      <c r="R46"/>
      <c r="S46"/>
      <c r="T46"/>
      <c r="U46"/>
    </row>
    <row r="47" spans="1:29" s="5" customFormat="1" ht="21" x14ac:dyDescent="0.4">
      <c r="A47" s="564"/>
      <c r="B47" s="287"/>
      <c r="C47" s="274" t="s">
        <v>234</v>
      </c>
      <c r="D47" s="270"/>
      <c r="E47" s="262"/>
      <c r="F47" s="276">
        <f>IF('Gårdens info'!$D$42&gt;0,J47/'Gårdens info'!$D$42,0)</f>
        <v>0</v>
      </c>
      <c r="G47" s="119" t="s">
        <v>57</v>
      </c>
      <c r="H47" s="277">
        <f>IF('Gårdens info'!G42&gt;0,F47/'Gårdens info'!$G$28,0)</f>
        <v>0</v>
      </c>
      <c r="I47" s="119" t="s">
        <v>206</v>
      </c>
      <c r="J47" s="237">
        <f>Egendom!EB90</f>
        <v>0</v>
      </c>
      <c r="K47" s="119" t="s">
        <v>866</v>
      </c>
      <c r="L47" s="267"/>
      <c r="M47" s="259"/>
    </row>
    <row r="48" spans="1:29" s="5" customFormat="1" ht="20.399999999999999" x14ac:dyDescent="0.35">
      <c r="A48" s="564"/>
      <c r="B48" s="289"/>
      <c r="C48" s="278" t="s">
        <v>54</v>
      </c>
      <c r="D48" s="279"/>
      <c r="E48" s="262"/>
      <c r="F48" s="280">
        <f>SUM(F44:F47)</f>
        <v>0</v>
      </c>
      <c r="G48" s="119" t="s">
        <v>57</v>
      </c>
      <c r="H48" s="285">
        <f t="shared" ref="H48:J48" si="4">SUM(H44:H47)</f>
        <v>0</v>
      </c>
      <c r="I48" s="119" t="s">
        <v>206</v>
      </c>
      <c r="J48" s="280">
        <f t="shared" si="4"/>
        <v>0</v>
      </c>
      <c r="K48" s="119" t="s">
        <v>866</v>
      </c>
      <c r="L48" s="281"/>
      <c r="M48" s="259"/>
    </row>
    <row r="49" spans="1:29" s="5" customFormat="1" ht="21" x14ac:dyDescent="0.4">
      <c r="A49" s="564"/>
      <c r="B49" s="287"/>
      <c r="C49" s="274"/>
      <c r="D49" s="270"/>
      <c r="E49" s="262"/>
      <c r="F49" s="276"/>
      <c r="G49" s="119"/>
      <c r="H49" s="277"/>
      <c r="I49" s="119"/>
      <c r="J49" s="237"/>
      <c r="K49" s="119"/>
      <c r="L49" s="267"/>
      <c r="M49" s="259"/>
    </row>
    <row r="50" spans="1:29" s="5" customFormat="1" ht="21" x14ac:dyDescent="0.4">
      <c r="A50" s="564"/>
      <c r="B50" s="1084" t="s">
        <v>139</v>
      </c>
      <c r="C50" s="1085"/>
      <c r="D50" s="270"/>
      <c r="E50" s="262"/>
      <c r="F50" s="276"/>
      <c r="G50" s="119"/>
      <c r="H50" s="277"/>
      <c r="I50" s="119"/>
      <c r="J50" s="237"/>
      <c r="K50" s="119"/>
      <c r="L50" s="267"/>
      <c r="M50" s="259"/>
    </row>
    <row r="51" spans="1:29" s="5" customFormat="1" ht="21" x14ac:dyDescent="0.4">
      <c r="A51" s="564"/>
      <c r="B51" s="287"/>
      <c r="C51" s="274" t="s">
        <v>229</v>
      </c>
      <c r="D51" s="270"/>
      <c r="E51" s="262"/>
      <c r="F51" s="276">
        <f>IF('Gårdens info'!$D$42&gt;0,J51/'Gårdens info'!$D$42,0)</f>
        <v>0</v>
      </c>
      <c r="G51" s="119" t="s">
        <v>57</v>
      </c>
      <c r="H51" s="277">
        <f>IF('Gårdens info'!G42&gt;0,F51/'Gårdens info'!$G$28,0)</f>
        <v>0</v>
      </c>
      <c r="I51" s="119" t="s">
        <v>206</v>
      </c>
      <c r="J51" s="237">
        <f>Egendom!BH93</f>
        <v>0</v>
      </c>
      <c r="K51" s="119" t="s">
        <v>866</v>
      </c>
      <c r="L51" s="267"/>
      <c r="M51" s="259"/>
    </row>
    <row r="52" spans="1:29" s="5" customFormat="1" ht="19.95" customHeight="1" x14ac:dyDescent="0.4">
      <c r="A52" s="564"/>
      <c r="B52" s="287"/>
      <c r="C52" s="274" t="s">
        <v>230</v>
      </c>
      <c r="D52" s="270"/>
      <c r="E52" s="262"/>
      <c r="F52" s="276">
        <f>IF('Gårdens info'!$D$42&gt;0,J52/'Gårdens info'!$D$42,0)</f>
        <v>0</v>
      </c>
      <c r="G52" s="119" t="s">
        <v>57</v>
      </c>
      <c r="H52" s="277">
        <f>IF('Gårdens info'!G42&gt;0,F52/'Gårdens info'!$G$28,0)</f>
        <v>0</v>
      </c>
      <c r="I52" s="119" t="s">
        <v>206</v>
      </c>
      <c r="J52" s="237">
        <f>Egendom!CF93</f>
        <v>0</v>
      </c>
      <c r="K52" s="119" t="s">
        <v>866</v>
      </c>
      <c r="L52" s="267"/>
      <c r="M52" s="259"/>
    </row>
    <row r="53" spans="1:29" s="5" customFormat="1" ht="17.399999999999999" customHeight="1" x14ac:dyDescent="0.3">
      <c r="A53" s="564"/>
      <c r="B53" s="287"/>
      <c r="C53" s="1083" t="s">
        <v>232</v>
      </c>
      <c r="D53" s="1083"/>
      <c r="E53" s="262"/>
      <c r="F53" s="276">
        <f>IF('Gårdens info'!$D$42&gt;0,J53/'Gårdens info'!$D$42,0)</f>
        <v>0</v>
      </c>
      <c r="G53" s="119" t="s">
        <v>57</v>
      </c>
      <c r="H53" s="277">
        <f>IF('Gårdens info'!G42&gt;0,F53/'Gårdens info'!$G$28,0)</f>
        <v>0</v>
      </c>
      <c r="I53" s="119" t="s">
        <v>206</v>
      </c>
      <c r="J53" s="237">
        <f>Egendom!DD93</f>
        <v>0</v>
      </c>
      <c r="K53" s="119" t="s">
        <v>866</v>
      </c>
      <c r="L53" s="267"/>
      <c r="M53" s="259"/>
    </row>
    <row r="54" spans="1:29" s="5" customFormat="1" ht="15.6" x14ac:dyDescent="0.3">
      <c r="A54" s="564"/>
      <c r="B54" s="286"/>
      <c r="C54" s="261" t="s">
        <v>54</v>
      </c>
      <c r="D54" s="261"/>
      <c r="E54" s="261"/>
      <c r="F54" s="280">
        <f>SUM(F51:F53)</f>
        <v>0</v>
      </c>
      <c r="G54" s="119" t="s">
        <v>57</v>
      </c>
      <c r="H54" s="285">
        <f t="shared" ref="H54:J54" si="5">SUM(H51:H53)</f>
        <v>0</v>
      </c>
      <c r="I54" s="119" t="s">
        <v>206</v>
      </c>
      <c r="J54" s="280">
        <f t="shared" si="5"/>
        <v>0</v>
      </c>
      <c r="K54" s="119" t="s">
        <v>866</v>
      </c>
      <c r="L54" s="284"/>
      <c r="M54" s="290"/>
    </row>
    <row r="55" spans="1:29" s="5" customFormat="1" ht="21" customHeight="1" x14ac:dyDescent="0.4">
      <c r="A55" s="564"/>
      <c r="B55" s="1061" t="s">
        <v>191</v>
      </c>
      <c r="C55" s="1043"/>
      <c r="D55" s="1043"/>
      <c r="E55" s="262"/>
      <c r="F55" s="266">
        <f>F34+F41+F48+F54</f>
        <v>0</v>
      </c>
      <c r="G55" s="267" t="s">
        <v>57</v>
      </c>
      <c r="H55" s="268">
        <f>H34+H41+H48+H54</f>
        <v>0</v>
      </c>
      <c r="I55" s="267" t="s">
        <v>206</v>
      </c>
      <c r="J55" s="269" t="e">
        <f>J34+J41+J48+J54</f>
        <v>#DIV/0!</v>
      </c>
      <c r="K55" s="267" t="s">
        <v>866</v>
      </c>
      <c r="L55" s="267"/>
      <c r="M55" s="259"/>
    </row>
    <row r="56" spans="1:29" s="5" customFormat="1" ht="15.6" x14ac:dyDescent="0.3">
      <c r="A56" s="564"/>
      <c r="B56" s="286"/>
      <c r="C56" s="262"/>
      <c r="D56" s="262"/>
      <c r="E56" s="262"/>
      <c r="F56" s="263"/>
      <c r="G56" s="243"/>
      <c r="H56" s="264"/>
      <c r="I56" s="243"/>
      <c r="J56" s="258"/>
      <c r="K56" s="243"/>
      <c r="L56" s="265"/>
      <c r="M56" s="259"/>
    </row>
    <row r="57" spans="1:29" s="5" customFormat="1" ht="21" x14ac:dyDescent="0.4">
      <c r="A57" s="564"/>
      <c r="B57" s="257" t="s">
        <v>192</v>
      </c>
      <c r="C57" s="262"/>
      <c r="D57" s="262"/>
      <c r="E57" s="262"/>
      <c r="F57" s="263"/>
      <c r="G57" s="243"/>
      <c r="H57" s="264"/>
      <c r="I57" s="243"/>
      <c r="J57" s="258"/>
      <c r="K57" s="243"/>
      <c r="L57" s="265"/>
      <c r="M57" s="259"/>
    </row>
    <row r="58" spans="1:29" s="5" customFormat="1" ht="15" x14ac:dyDescent="0.25">
      <c r="A58" s="564"/>
      <c r="B58" s="235"/>
      <c r="C58" s="228" t="s">
        <v>192</v>
      </c>
      <c r="D58" s="236"/>
      <c r="E58" s="236"/>
      <c r="F58" s="237">
        <f>IF('Gårdens info'!D42&gt;0,H130,0)</f>
        <v>0</v>
      </c>
      <c r="G58" s="119" t="s">
        <v>57</v>
      </c>
      <c r="H58" s="238">
        <f>IF('Gårdens info'!G42&gt;0,F58/'Gårdens info'!$G$28,0)</f>
        <v>0</v>
      </c>
      <c r="I58" s="119" t="s">
        <v>206</v>
      </c>
      <c r="J58" s="237">
        <f>F58*'Gårdens info'!$D$42</f>
        <v>0</v>
      </c>
      <c r="K58" s="119" t="s">
        <v>866</v>
      </c>
      <c r="L58" s="236"/>
      <c r="M58" s="239"/>
    </row>
    <row r="59" spans="1:29" s="5" customFormat="1" ht="17.399999999999999" x14ac:dyDescent="0.3">
      <c r="A59" s="564"/>
      <c r="B59" s="248"/>
      <c r="C59" s="245"/>
      <c r="D59" s="249"/>
      <c r="E59" s="249"/>
      <c r="F59" s="250"/>
      <c r="G59" s="120"/>
      <c r="H59" s="249"/>
      <c r="I59" s="249"/>
      <c r="J59" s="249"/>
      <c r="K59" s="249"/>
      <c r="L59" s="249"/>
      <c r="M59" s="234"/>
    </row>
    <row r="60" spans="1:29" s="5" customFormat="1" ht="21" customHeight="1" x14ac:dyDescent="0.4">
      <c r="A60" s="564"/>
      <c r="B60" s="1061" t="s">
        <v>192</v>
      </c>
      <c r="C60" s="1043"/>
      <c r="D60" s="1043"/>
      <c r="E60" s="262"/>
      <c r="F60" s="266">
        <f>F58</f>
        <v>0</v>
      </c>
      <c r="G60" s="267" t="s">
        <v>57</v>
      </c>
      <c r="H60" s="268">
        <f>H58</f>
        <v>0</v>
      </c>
      <c r="I60" s="267" t="s">
        <v>206</v>
      </c>
      <c r="J60" s="269">
        <f>J58</f>
        <v>0</v>
      </c>
      <c r="K60" s="267" t="s">
        <v>866</v>
      </c>
      <c r="L60" s="267"/>
      <c r="M60" s="259"/>
    </row>
    <row r="61" spans="1:29" s="5" customFormat="1" ht="21" x14ac:dyDescent="0.4">
      <c r="A61" s="564"/>
      <c r="B61" s="288"/>
      <c r="C61" s="270"/>
      <c r="D61" s="270"/>
      <c r="E61" s="262"/>
      <c r="F61" s="266"/>
      <c r="G61" s="267"/>
      <c r="H61" s="268"/>
      <c r="I61" s="267"/>
      <c r="J61" s="269"/>
      <c r="K61" s="267"/>
      <c r="L61" s="267"/>
      <c r="M61" s="259"/>
    </row>
    <row r="62" spans="1:29" s="5" customFormat="1" ht="21" customHeight="1" x14ac:dyDescent="0.4">
      <c r="A62" s="564"/>
      <c r="B62" s="1061" t="s">
        <v>822</v>
      </c>
      <c r="C62" s="1043"/>
      <c r="D62" s="1043"/>
      <c r="E62" s="262"/>
      <c r="F62" s="266">
        <f>F26+F55+F60</f>
        <v>0</v>
      </c>
      <c r="G62" s="267" t="s">
        <v>57</v>
      </c>
      <c r="H62" s="572">
        <f>H26+H55+H60</f>
        <v>0</v>
      </c>
      <c r="I62" s="267" t="s">
        <v>206</v>
      </c>
      <c r="J62" s="266" t="e">
        <f>J26+J55+J60</f>
        <v>#DIV/0!</v>
      </c>
      <c r="K62" s="267" t="s">
        <v>866</v>
      </c>
      <c r="L62" s="267"/>
      <c r="M62" s="259"/>
    </row>
    <row r="63" spans="1:29" s="5" customFormat="1" ht="21" x14ac:dyDescent="0.4">
      <c r="A63" s="564"/>
      <c r="B63" s="288"/>
      <c r="C63" s="270"/>
      <c r="D63" s="270"/>
      <c r="E63" s="262"/>
      <c r="F63" s="266"/>
      <c r="G63" s="267"/>
      <c r="H63" s="268"/>
      <c r="I63" s="267"/>
      <c r="J63" s="269"/>
      <c r="K63" s="267"/>
      <c r="L63" s="267"/>
      <c r="M63" s="259"/>
    </row>
    <row r="64" spans="1:29" s="5" customFormat="1" ht="21.6" customHeight="1" thickBot="1" x14ac:dyDescent="0.45">
      <c r="A64" s="564"/>
      <c r="B64" s="1059" t="s">
        <v>198</v>
      </c>
      <c r="C64" s="1060"/>
      <c r="D64" s="1060"/>
      <c r="E64" s="253"/>
      <c r="F64" s="292">
        <f>F11-F26-F55-F60</f>
        <v>0</v>
      </c>
      <c r="G64" s="293" t="s">
        <v>57</v>
      </c>
      <c r="H64" s="294">
        <f>H11-H26-H55-H60</f>
        <v>0</v>
      </c>
      <c r="I64" s="293" t="s">
        <v>206</v>
      </c>
      <c r="J64" s="292" t="e">
        <f>J11-J26-J55-J60</f>
        <v>#DIV/0!</v>
      </c>
      <c r="K64" s="293" t="s">
        <v>866</v>
      </c>
      <c r="L64" s="293"/>
      <c r="M64" s="254"/>
      <c r="AB64" s="194"/>
      <c r="AC64" s="194"/>
    </row>
    <row r="65" spans="1:29" s="5" customFormat="1" ht="21" x14ac:dyDescent="0.4">
      <c r="A65" s="564"/>
      <c r="B65" s="55"/>
      <c r="C65"/>
      <c r="D65"/>
      <c r="E65"/>
      <c r="F65"/>
      <c r="G65"/>
      <c r="H65"/>
      <c r="I65"/>
      <c r="J65"/>
      <c r="K65"/>
      <c r="L65"/>
      <c r="M65"/>
    </row>
    <row r="66" spans="1:29" s="194" customFormat="1" ht="16.2" thickBot="1" x14ac:dyDescent="0.35">
      <c r="A66" s="568"/>
      <c r="B66"/>
      <c r="C66"/>
      <c r="D66"/>
      <c r="E66"/>
      <c r="F66"/>
      <c r="G66"/>
      <c r="H66"/>
      <c r="I66"/>
      <c r="J66"/>
      <c r="K66"/>
      <c r="L66"/>
      <c r="M66"/>
      <c r="N66" s="5"/>
      <c r="O66" s="5"/>
      <c r="P66" s="5"/>
      <c r="Q66" s="5"/>
      <c r="R66" s="5"/>
      <c r="S66" s="5"/>
      <c r="T66" s="5"/>
      <c r="U66" s="5"/>
      <c r="AB66" s="5"/>
      <c r="AC66" s="5"/>
    </row>
    <row r="67" spans="1:29" s="5" customFormat="1" ht="21.6" customHeight="1" thickBot="1" x14ac:dyDescent="0.45">
      <c r="A67" s="564"/>
      <c r="B67" s="1078" t="s">
        <v>240</v>
      </c>
      <c r="C67" s="1079"/>
      <c r="D67" s="1079"/>
      <c r="E67" s="1080"/>
      <c r="F67"/>
      <c r="G67"/>
      <c r="H67"/>
      <c r="I67"/>
      <c r="J67"/>
      <c r="K67"/>
      <c r="L67" s="1073" t="s">
        <v>241</v>
      </c>
      <c r="M67" s="1073"/>
      <c r="AB67"/>
      <c r="AC67"/>
    </row>
    <row r="68" spans="1:29" s="5" customFormat="1" ht="21" x14ac:dyDescent="0.4">
      <c r="A68" s="564"/>
      <c r="B68" s="334"/>
      <c r="C68" s="334"/>
      <c r="D68" s="334"/>
      <c r="E68" s="334"/>
      <c r="F68" s="116"/>
      <c r="G68" s="116"/>
      <c r="H68" s="116"/>
      <c r="I68" s="116"/>
      <c r="J68" s="116"/>
      <c r="K68" s="116"/>
      <c r="L68" s="461"/>
      <c r="M68" s="461"/>
      <c r="AB68"/>
      <c r="AC68"/>
    </row>
    <row r="69" spans="1:29" ht="15.6" x14ac:dyDescent="0.3">
      <c r="B69" s="89" t="s">
        <v>242</v>
      </c>
      <c r="C69" s="44"/>
      <c r="D69" s="44"/>
      <c r="E69" s="44"/>
      <c r="F69" s="1077" t="s">
        <v>114</v>
      </c>
      <c r="G69" s="1077"/>
      <c r="H69" s="1077" t="s">
        <v>113</v>
      </c>
      <c r="I69" s="1077"/>
      <c r="J69" s="1077" t="s">
        <v>243</v>
      </c>
      <c r="K69" s="1077"/>
      <c r="L69" s="111"/>
      <c r="M69" s="46"/>
    </row>
    <row r="70" spans="1:29" ht="13.8" thickBot="1" x14ac:dyDescent="0.3">
      <c r="B70" s="48"/>
      <c r="C70" s="44"/>
      <c r="D70" s="44"/>
      <c r="E70" s="44"/>
      <c r="F70" s="44"/>
      <c r="G70" s="44"/>
      <c r="H70" s="44"/>
      <c r="I70" s="44"/>
      <c r="J70" s="46"/>
      <c r="K70" s="46"/>
      <c r="L70" s="46"/>
      <c r="M70" s="46"/>
    </row>
    <row r="71" spans="1:29" ht="13.8" thickBot="1" x14ac:dyDescent="0.3">
      <c r="B71" s="48"/>
      <c r="C71" s="44" t="s">
        <v>862</v>
      </c>
      <c r="D71" s="44"/>
      <c r="E71" s="44"/>
      <c r="F71" s="74">
        <v>20</v>
      </c>
      <c r="G71" s="44" t="s">
        <v>8</v>
      </c>
      <c r="H71" s="74">
        <v>2.95</v>
      </c>
      <c r="I71" s="49" t="s">
        <v>206</v>
      </c>
      <c r="J71" s="191">
        <f>F71*H71</f>
        <v>59</v>
      </c>
      <c r="K71" s="44" t="s">
        <v>57</v>
      </c>
      <c r="L71" s="46"/>
      <c r="M71" s="46"/>
      <c r="AB71" s="5"/>
      <c r="AC71" s="5"/>
    </row>
    <row r="72" spans="1:29" ht="13.8" thickBot="1" x14ac:dyDescent="0.3">
      <c r="B72" s="44"/>
      <c r="C72" s="45" t="s">
        <v>598</v>
      </c>
      <c r="D72" s="46"/>
      <c r="E72" s="44"/>
      <c r="F72" s="74"/>
      <c r="G72" s="44" t="s">
        <v>8</v>
      </c>
      <c r="H72" s="74"/>
      <c r="I72" s="49" t="s">
        <v>206</v>
      </c>
      <c r="J72" s="191">
        <f>F72*H72</f>
        <v>0</v>
      </c>
      <c r="K72" s="44" t="s">
        <v>57</v>
      </c>
      <c r="L72" s="44"/>
      <c r="M72" s="46"/>
    </row>
    <row r="73" spans="1:29" s="5" customFormat="1" x14ac:dyDescent="0.25">
      <c r="A73" s="564"/>
      <c r="B73" s="50"/>
      <c r="C73" s="50" t="s">
        <v>54</v>
      </c>
      <c r="D73" s="466"/>
      <c r="E73" s="50"/>
      <c r="F73" s="218"/>
      <c r="G73" s="50"/>
      <c r="H73" s="467"/>
      <c r="I73" s="219"/>
      <c r="J73" s="220"/>
      <c r="K73" s="50"/>
      <c r="L73" s="50"/>
      <c r="M73" s="50"/>
    </row>
    <row r="74" spans="1:29" ht="17.399999999999999" x14ac:dyDescent="0.3">
      <c r="B74" s="435"/>
      <c r="C74" s="435"/>
      <c r="D74" s="464"/>
      <c r="E74" s="435"/>
      <c r="F74" s="465"/>
      <c r="G74" s="435"/>
      <c r="H74" s="246"/>
      <c r="I74" s="437"/>
      <c r="J74" s="232"/>
      <c r="K74" s="435"/>
      <c r="L74" s="116"/>
      <c r="M74" s="116"/>
      <c r="AB74" s="56"/>
      <c r="AC74" s="56"/>
    </row>
    <row r="75" spans="1:29" s="5" customFormat="1" ht="17.399999999999999" x14ac:dyDescent="0.3">
      <c r="A75" s="564"/>
      <c r="B75" s="96" t="s">
        <v>247</v>
      </c>
      <c r="C75" s="97"/>
      <c r="D75" s="97"/>
      <c r="E75" s="97"/>
      <c r="F75" s="1074" t="s">
        <v>114</v>
      </c>
      <c r="G75" s="1074"/>
      <c r="H75" s="1074" t="s">
        <v>113</v>
      </c>
      <c r="I75" s="1074"/>
      <c r="J75" s="1074" t="s">
        <v>243</v>
      </c>
      <c r="K75" s="1074"/>
      <c r="L75" s="99"/>
      <c r="M75" s="99"/>
      <c r="AB75" s="56"/>
      <c r="AC75" s="56"/>
    </row>
    <row r="76" spans="1:29" s="56" customFormat="1" ht="18" thickBot="1" x14ac:dyDescent="0.35">
      <c r="A76" s="566"/>
      <c r="B76" s="97"/>
      <c r="C76" s="97"/>
      <c r="D76" s="97"/>
      <c r="E76" s="97"/>
      <c r="F76" s="97"/>
      <c r="G76" s="97"/>
      <c r="H76" s="98"/>
      <c r="I76" s="98"/>
      <c r="J76" s="99"/>
      <c r="K76" s="99"/>
      <c r="L76" s="99"/>
      <c r="M76" s="99"/>
      <c r="N76" s="5"/>
      <c r="O76" s="5"/>
      <c r="P76" s="5"/>
      <c r="Q76" s="5"/>
      <c r="R76" s="5"/>
      <c r="S76" s="5"/>
      <c r="T76" s="5"/>
      <c r="U76" s="5"/>
      <c r="AB76"/>
      <c r="AC76"/>
    </row>
    <row r="77" spans="1:29" s="56" customFormat="1" ht="18" thickBot="1" x14ac:dyDescent="0.35">
      <c r="A77" s="566"/>
      <c r="B77" s="97"/>
      <c r="C77" s="97" t="s">
        <v>824</v>
      </c>
      <c r="D77" s="97"/>
      <c r="E77" s="97"/>
      <c r="F77" s="74">
        <v>250</v>
      </c>
      <c r="G77" s="97" t="s">
        <v>212</v>
      </c>
      <c r="H77" s="77">
        <v>0.41</v>
      </c>
      <c r="I77" s="98" t="s">
        <v>206</v>
      </c>
      <c r="J77" s="100">
        <f t="shared" ref="J77:J78" si="6">F77*H77</f>
        <v>102.5</v>
      </c>
      <c r="K77" s="97" t="s">
        <v>57</v>
      </c>
      <c r="L77" s="99"/>
      <c r="M77" s="99"/>
      <c r="AB77" s="69"/>
      <c r="AC77" s="69"/>
    </row>
    <row r="78" spans="1:29" ht="15.6" thickBot="1" x14ac:dyDescent="0.3">
      <c r="B78" s="97"/>
      <c r="C78" s="97" t="s">
        <v>251</v>
      </c>
      <c r="D78" s="97"/>
      <c r="E78" s="97"/>
      <c r="F78" s="74"/>
      <c r="G78" s="97" t="s">
        <v>212</v>
      </c>
      <c r="H78" s="77"/>
      <c r="I78" s="98" t="s">
        <v>206</v>
      </c>
      <c r="J78" s="100">
        <f t="shared" si="6"/>
        <v>0</v>
      </c>
      <c r="K78" s="97" t="s">
        <v>57</v>
      </c>
      <c r="L78" s="99"/>
      <c r="M78" s="99"/>
      <c r="N78" s="69"/>
      <c r="O78" s="69"/>
      <c r="P78" s="69"/>
      <c r="Q78" s="69"/>
      <c r="R78" s="69"/>
      <c r="S78" s="69"/>
      <c r="T78" s="69"/>
      <c r="U78" s="69"/>
      <c r="AB78" s="5"/>
      <c r="AC78" s="5"/>
    </row>
    <row r="79" spans="1:29" s="69" customFormat="1" ht="17.399999999999999" x14ac:dyDescent="0.3">
      <c r="A79" s="565"/>
      <c r="B79" s="214"/>
      <c r="C79" s="214" t="s">
        <v>54</v>
      </c>
      <c r="D79" s="214"/>
      <c r="E79" s="214"/>
      <c r="F79" s="214"/>
      <c r="G79" s="214"/>
      <c r="H79" s="214"/>
      <c r="I79" s="215"/>
      <c r="J79" s="216">
        <f>SUM(J77:J78)</f>
        <v>102.5</v>
      </c>
      <c r="K79" s="214" t="s">
        <v>57</v>
      </c>
      <c r="L79" s="214"/>
      <c r="M79" s="214"/>
      <c r="N79" s="56"/>
      <c r="O79" s="56"/>
      <c r="P79" s="56"/>
      <c r="Q79" s="56"/>
      <c r="R79" s="56"/>
      <c r="S79" s="56"/>
      <c r="T79" s="56"/>
      <c r="U79" s="56"/>
      <c r="AB79" s="5"/>
      <c r="AC79" s="5"/>
    </row>
    <row r="80" spans="1:29" s="5" customFormat="1" x14ac:dyDescent="0.25">
      <c r="A80" s="564"/>
      <c r="B80" s="97"/>
      <c r="C80" s="97"/>
      <c r="D80" s="97"/>
      <c r="E80" s="97"/>
      <c r="F80" s="97"/>
      <c r="G80" s="97"/>
      <c r="H80" s="97"/>
      <c r="I80" s="98"/>
      <c r="J80" s="100"/>
      <c r="K80" s="97"/>
      <c r="L80" s="99"/>
      <c r="M80" s="99"/>
      <c r="N80"/>
      <c r="O80"/>
      <c r="P80"/>
      <c r="Q80"/>
      <c r="R80"/>
      <c r="S80"/>
      <c r="T80"/>
      <c r="U80"/>
    </row>
    <row r="81" spans="1:29" s="5" customFormat="1" ht="15" x14ac:dyDescent="0.25">
      <c r="A81" s="564"/>
      <c r="B81"/>
      <c r="C81"/>
      <c r="D81"/>
      <c r="E81"/>
      <c r="F81"/>
      <c r="G81"/>
      <c r="H81"/>
      <c r="I81"/>
      <c r="J81"/>
      <c r="K81"/>
      <c r="L81"/>
      <c r="M81"/>
      <c r="N81" s="69"/>
      <c r="O81" s="69"/>
      <c r="P81" s="69"/>
      <c r="Q81" s="69"/>
      <c r="R81" s="69"/>
      <c r="S81" s="69"/>
      <c r="T81" s="69"/>
      <c r="U81" s="69"/>
      <c r="AB81"/>
      <c r="AC81"/>
    </row>
    <row r="82" spans="1:29" s="5" customFormat="1" ht="15.6" x14ac:dyDescent="0.3">
      <c r="A82" s="564"/>
      <c r="B82" s="85" t="s">
        <v>863</v>
      </c>
      <c r="C82" s="51"/>
      <c r="D82" s="51"/>
      <c r="E82" s="51"/>
      <c r="F82" s="1075" t="s">
        <v>114</v>
      </c>
      <c r="G82" s="1075"/>
      <c r="H82" s="1076" t="s">
        <v>113</v>
      </c>
      <c r="I82" s="1076"/>
      <c r="J82" s="1075" t="s">
        <v>243</v>
      </c>
      <c r="K82" s="1075"/>
      <c r="L82" s="58"/>
      <c r="M82" s="58"/>
      <c r="AB82"/>
      <c r="AC82"/>
    </row>
    <row r="83" spans="1:29" x14ac:dyDescent="0.25">
      <c r="B83" s="51"/>
      <c r="C83" s="51"/>
      <c r="D83" s="51"/>
      <c r="E83" s="51"/>
      <c r="F83" s="53"/>
      <c r="G83" s="53"/>
      <c r="H83" s="52"/>
      <c r="I83" s="52"/>
      <c r="J83" s="52"/>
      <c r="K83" s="58"/>
      <c r="L83" s="58"/>
      <c r="M83" s="58"/>
      <c r="N83" s="5"/>
      <c r="O83" s="5"/>
      <c r="P83" s="5"/>
      <c r="Q83" s="5"/>
      <c r="R83" s="5"/>
      <c r="S83" s="5"/>
      <c r="T83" s="5"/>
      <c r="U83" s="5"/>
    </row>
    <row r="84" spans="1:29" ht="15.6" x14ac:dyDescent="0.3">
      <c r="B84" s="85"/>
      <c r="C84" s="51"/>
      <c r="D84" s="387" t="s">
        <v>253</v>
      </c>
      <c r="E84" s="51"/>
      <c r="F84" s="59"/>
      <c r="G84" s="59"/>
      <c r="H84" s="60"/>
      <c r="I84" s="60"/>
      <c r="J84" s="59"/>
      <c r="K84" s="59"/>
      <c r="L84" s="58"/>
      <c r="M84" s="58"/>
    </row>
    <row r="85" spans="1:29" ht="13.8" thickBot="1" x14ac:dyDescent="0.3">
      <c r="B85" s="171" t="s">
        <v>254</v>
      </c>
      <c r="C85" s="51"/>
      <c r="D85" s="51"/>
      <c r="E85" s="51"/>
      <c r="F85" s="53"/>
      <c r="G85" s="53"/>
      <c r="H85" s="52"/>
      <c r="I85" s="52"/>
      <c r="J85" s="58"/>
      <c r="K85" s="58"/>
      <c r="L85" s="58"/>
      <c r="M85" s="58"/>
    </row>
    <row r="86" spans="1:29" ht="13.8" thickBot="1" x14ac:dyDescent="0.3">
      <c r="B86" s="51"/>
      <c r="C86" s="51" t="s">
        <v>267</v>
      </c>
      <c r="D86" s="58"/>
      <c r="E86" s="51"/>
      <c r="F86" s="95"/>
      <c r="G86" s="53" t="s">
        <v>256</v>
      </c>
      <c r="H86" s="77"/>
      <c r="I86" s="52" t="s">
        <v>257</v>
      </c>
      <c r="J86" s="58">
        <f t="shared" ref="J86:J88" si="7">F86*H86</f>
        <v>0</v>
      </c>
      <c r="K86" s="51" t="s">
        <v>57</v>
      </c>
      <c r="L86" s="58"/>
      <c r="M86" s="58"/>
    </row>
    <row r="87" spans="1:29" ht="13.8" thickBot="1" x14ac:dyDescent="0.3">
      <c r="B87" s="51"/>
      <c r="C87" s="51" t="s">
        <v>267</v>
      </c>
      <c r="D87" s="51"/>
      <c r="E87" s="51"/>
      <c r="F87" s="95"/>
      <c r="G87" s="53" t="s">
        <v>256</v>
      </c>
      <c r="H87" s="77"/>
      <c r="I87" s="52" t="s">
        <v>257</v>
      </c>
      <c r="J87" s="58">
        <f t="shared" si="7"/>
        <v>0</v>
      </c>
      <c r="K87" s="51" t="s">
        <v>57</v>
      </c>
      <c r="L87" s="58"/>
      <c r="M87" s="58"/>
    </row>
    <row r="88" spans="1:29" ht="13.8" thickBot="1" x14ac:dyDescent="0.3">
      <c r="B88" s="51"/>
      <c r="C88" s="51" t="s">
        <v>267</v>
      </c>
      <c r="D88" s="51"/>
      <c r="E88" s="51"/>
      <c r="F88" s="95"/>
      <c r="G88" s="53" t="s">
        <v>256</v>
      </c>
      <c r="H88" s="77"/>
      <c r="I88" s="52" t="s">
        <v>257</v>
      </c>
      <c r="J88" s="58">
        <f t="shared" si="7"/>
        <v>0</v>
      </c>
      <c r="K88" s="51" t="s">
        <v>57</v>
      </c>
      <c r="L88" s="58"/>
      <c r="M88" s="58"/>
    </row>
    <row r="89" spans="1:29" x14ac:dyDescent="0.25">
      <c r="B89" s="51"/>
      <c r="C89" s="51"/>
      <c r="D89" s="51"/>
      <c r="E89" s="51"/>
      <c r="F89" s="53"/>
      <c r="G89" s="53"/>
      <c r="H89" s="52"/>
      <c r="I89" s="52"/>
      <c r="J89" s="58"/>
      <c r="K89" s="51"/>
      <c r="L89" s="58"/>
      <c r="M89" s="58"/>
    </row>
    <row r="90" spans="1:29" ht="13.8" thickBot="1" x14ac:dyDescent="0.3">
      <c r="B90" s="171" t="s">
        <v>266</v>
      </c>
      <c r="C90" s="51"/>
      <c r="D90" s="51"/>
      <c r="E90" s="51"/>
      <c r="F90" s="53"/>
      <c r="G90" s="53"/>
      <c r="H90" s="52"/>
      <c r="I90" s="52"/>
      <c r="J90" s="58"/>
      <c r="K90" s="51"/>
      <c r="L90" s="58"/>
      <c r="M90" s="58"/>
    </row>
    <row r="91" spans="1:29" ht="13.8" thickBot="1" x14ac:dyDescent="0.3">
      <c r="B91" s="51"/>
      <c r="C91" s="51" t="s">
        <v>267</v>
      </c>
      <c r="D91" s="51"/>
      <c r="E91" s="51"/>
      <c r="F91" s="95"/>
      <c r="G91" s="53" t="s">
        <v>256</v>
      </c>
      <c r="H91" s="95"/>
      <c r="I91" s="52" t="s">
        <v>257</v>
      </c>
      <c r="J91" s="58">
        <f t="shared" ref="J91:J93" si="8">F91*H91</f>
        <v>0</v>
      </c>
      <c r="K91" s="51" t="s">
        <v>57</v>
      </c>
      <c r="L91" s="58"/>
      <c r="M91" s="58"/>
    </row>
    <row r="92" spans="1:29" ht="13.8" thickBot="1" x14ac:dyDescent="0.3">
      <c r="B92" s="51"/>
      <c r="C92" s="51" t="s">
        <v>267</v>
      </c>
      <c r="D92" s="51"/>
      <c r="E92" s="51"/>
      <c r="F92" s="95"/>
      <c r="G92" s="53" t="s">
        <v>256</v>
      </c>
      <c r="H92" s="95"/>
      <c r="I92" s="52" t="s">
        <v>257</v>
      </c>
      <c r="J92" s="58">
        <f t="shared" si="8"/>
        <v>0</v>
      </c>
      <c r="K92" s="51" t="s">
        <v>57</v>
      </c>
      <c r="L92" s="58"/>
      <c r="M92" s="58"/>
      <c r="AB92" s="5"/>
      <c r="AC92" s="5"/>
    </row>
    <row r="93" spans="1:29" ht="13.8" thickBot="1" x14ac:dyDescent="0.3">
      <c r="B93" s="51"/>
      <c r="C93" s="51" t="s">
        <v>267</v>
      </c>
      <c r="D93" s="51"/>
      <c r="E93" s="51"/>
      <c r="F93" s="95"/>
      <c r="G93" s="53" t="s">
        <v>256</v>
      </c>
      <c r="H93" s="95"/>
      <c r="I93" s="52" t="s">
        <v>257</v>
      </c>
      <c r="J93" s="58">
        <f t="shared" si="8"/>
        <v>0</v>
      </c>
      <c r="K93" s="51" t="s">
        <v>57</v>
      </c>
      <c r="L93" s="58"/>
      <c r="M93" s="58"/>
    </row>
    <row r="94" spans="1:29" s="5" customFormat="1" x14ac:dyDescent="0.25">
      <c r="A94" s="564"/>
      <c r="B94" s="195"/>
      <c r="C94" s="195" t="s">
        <v>54</v>
      </c>
      <c r="D94" s="195"/>
      <c r="E94" s="195"/>
      <c r="F94" s="196"/>
      <c r="G94" s="196"/>
      <c r="H94" s="196"/>
      <c r="I94" s="197"/>
      <c r="J94" s="197">
        <f>SUM(J86:J93)</f>
        <v>0</v>
      </c>
      <c r="K94" s="195" t="s">
        <v>57</v>
      </c>
      <c r="L94" s="195"/>
      <c r="M94" s="195"/>
      <c r="AB94"/>
      <c r="AC94"/>
    </row>
    <row r="95" spans="1:29" x14ac:dyDescent="0.25">
      <c r="B95" s="51"/>
      <c r="C95" s="51"/>
      <c r="D95" s="51"/>
      <c r="E95" s="51"/>
      <c r="F95" s="53"/>
      <c r="G95" s="53"/>
      <c r="H95" s="52"/>
      <c r="I95" s="52"/>
      <c r="J95" s="58"/>
      <c r="K95" s="51"/>
      <c r="L95" s="58"/>
      <c r="M95" s="58"/>
    </row>
    <row r="96" spans="1:29" x14ac:dyDescent="0.25">
      <c r="A96" s="569"/>
    </row>
    <row r="97" spans="1:29" ht="15.6" x14ac:dyDescent="0.3">
      <c r="A97" s="569"/>
      <c r="B97" s="176" t="s">
        <v>275</v>
      </c>
      <c r="C97" s="177"/>
      <c r="D97" s="177"/>
      <c r="E97" s="177"/>
      <c r="F97" s="1067" t="s">
        <v>114</v>
      </c>
      <c r="G97" s="1067"/>
      <c r="H97" s="1067" t="s">
        <v>113</v>
      </c>
      <c r="I97" s="1067"/>
      <c r="J97" s="1067" t="s">
        <v>243</v>
      </c>
      <c r="K97" s="1067"/>
      <c r="L97" s="179"/>
      <c r="M97" s="179"/>
    </row>
    <row r="98" spans="1:29" ht="13.8" thickBot="1" x14ac:dyDescent="0.3">
      <c r="A98" s="569"/>
      <c r="B98" s="177"/>
      <c r="C98" s="177"/>
      <c r="D98" s="177"/>
      <c r="E98" s="177"/>
      <c r="F98" s="177"/>
      <c r="G98" s="177"/>
      <c r="H98" s="178"/>
      <c r="I98" s="178"/>
      <c r="J98" s="179"/>
      <c r="K98" s="179"/>
      <c r="L98" s="179"/>
      <c r="M98" s="179"/>
    </row>
    <row r="99" spans="1:29" ht="13.8" thickBot="1" x14ac:dyDescent="0.3">
      <c r="A99" s="569"/>
      <c r="B99" s="177"/>
      <c r="C99" s="177" t="s">
        <v>276</v>
      </c>
      <c r="D99" s="179"/>
      <c r="E99" s="177"/>
      <c r="F99" s="74"/>
      <c r="G99" s="177" t="s">
        <v>7</v>
      </c>
      <c r="H99" s="77"/>
      <c r="I99" s="178" t="s">
        <v>57</v>
      </c>
      <c r="J99" s="180">
        <f t="shared" ref="J99:J101" si="9">F99*H99</f>
        <v>0</v>
      </c>
      <c r="K99" s="177" t="s">
        <v>57</v>
      </c>
      <c r="L99" s="179"/>
      <c r="M99" s="179"/>
    </row>
    <row r="100" spans="1:29" ht="13.8" thickBot="1" x14ac:dyDescent="0.3">
      <c r="B100" s="177"/>
      <c r="C100" s="177" t="s">
        <v>276</v>
      </c>
      <c r="D100" s="177"/>
      <c r="E100" s="177"/>
      <c r="F100" s="74"/>
      <c r="G100" s="177" t="s">
        <v>7</v>
      </c>
      <c r="H100" s="77"/>
      <c r="I100" s="178" t="s">
        <v>57</v>
      </c>
      <c r="J100" s="180">
        <f t="shared" si="9"/>
        <v>0</v>
      </c>
      <c r="K100" s="177" t="s">
        <v>57</v>
      </c>
      <c r="L100" s="179"/>
      <c r="M100" s="179"/>
      <c r="AB100" s="5"/>
      <c r="AC100" s="5"/>
    </row>
    <row r="101" spans="1:29" ht="13.8" thickBot="1" x14ac:dyDescent="0.3">
      <c r="B101" s="177"/>
      <c r="C101" s="177" t="s">
        <v>276</v>
      </c>
      <c r="D101" s="177"/>
      <c r="E101" s="177"/>
      <c r="F101" s="74"/>
      <c r="G101" s="177" t="s">
        <v>7</v>
      </c>
      <c r="H101" s="77"/>
      <c r="I101" s="178" t="s">
        <v>57</v>
      </c>
      <c r="J101" s="180">
        <f t="shared" si="9"/>
        <v>0</v>
      </c>
      <c r="K101" s="177" t="s">
        <v>57</v>
      </c>
      <c r="L101" s="179"/>
      <c r="M101" s="179"/>
    </row>
    <row r="102" spans="1:29" s="5" customFormat="1" x14ac:dyDescent="0.25">
      <c r="A102" s="564"/>
      <c r="B102" s="177"/>
      <c r="C102" s="204" t="s">
        <v>54</v>
      </c>
      <c r="D102" s="204"/>
      <c r="E102" s="204"/>
      <c r="F102" s="204"/>
      <c r="G102" s="204"/>
      <c r="H102" s="205"/>
      <c r="I102" s="205"/>
      <c r="J102" s="206">
        <f>SUM(J99:J101)</f>
        <v>0</v>
      </c>
      <c r="K102" s="204" t="s">
        <v>57</v>
      </c>
      <c r="L102" s="204"/>
      <c r="M102" s="204"/>
      <c r="N102"/>
      <c r="O102"/>
      <c r="P102"/>
      <c r="Q102"/>
      <c r="R102"/>
      <c r="S102"/>
      <c r="T102"/>
      <c r="U102"/>
      <c r="AB102"/>
      <c r="AC102"/>
    </row>
    <row r="103" spans="1:29" x14ac:dyDescent="0.25">
      <c r="B103" s="204"/>
      <c r="C103" s="204"/>
      <c r="D103" s="177"/>
      <c r="E103" s="177"/>
      <c r="F103" s="177"/>
      <c r="G103" s="177"/>
      <c r="H103" s="178"/>
      <c r="I103" s="178"/>
      <c r="J103" s="180"/>
      <c r="K103" s="177"/>
      <c r="L103" s="179"/>
      <c r="M103" s="179"/>
    </row>
    <row r="104" spans="1:29" ht="30" customHeight="1" x14ac:dyDescent="0.25">
      <c r="B104" s="13"/>
      <c r="C104" s="13"/>
      <c r="N104" s="5"/>
      <c r="O104" s="5"/>
      <c r="P104" s="5"/>
      <c r="Q104" s="5"/>
      <c r="R104" s="5"/>
      <c r="S104" s="5"/>
      <c r="T104" s="5"/>
      <c r="U104" s="5"/>
    </row>
    <row r="105" spans="1:29" ht="15.6" x14ac:dyDescent="0.3">
      <c r="B105" s="181" t="s">
        <v>830</v>
      </c>
      <c r="C105" s="185"/>
      <c r="D105" s="182"/>
      <c r="E105" s="183"/>
      <c r="F105" s="182" t="s">
        <v>114</v>
      </c>
      <c r="G105" s="184"/>
      <c r="H105" s="184" t="s">
        <v>113</v>
      </c>
      <c r="I105" s="182"/>
      <c r="J105" s="182" t="s">
        <v>870</v>
      </c>
      <c r="K105" s="185"/>
      <c r="L105" s="185"/>
      <c r="M105" s="185"/>
    </row>
    <row r="106" spans="1:29" ht="13.8" thickBot="1" x14ac:dyDescent="0.3">
      <c r="B106" s="185"/>
      <c r="C106" s="182"/>
      <c r="D106" s="182"/>
      <c r="E106" s="183"/>
      <c r="F106" s="182"/>
      <c r="G106" s="184"/>
      <c r="H106" s="184"/>
      <c r="I106" s="182"/>
      <c r="J106" s="182"/>
      <c r="K106" s="185"/>
      <c r="L106" s="185"/>
      <c r="M106" s="185"/>
    </row>
    <row r="107" spans="1:29" ht="16.2" thickBot="1" x14ac:dyDescent="0.35">
      <c r="B107" s="181"/>
      <c r="C107" s="182" t="s">
        <v>278</v>
      </c>
      <c r="D107" s="185"/>
      <c r="E107" s="186"/>
      <c r="F107" s="74"/>
      <c r="G107" s="187" t="s">
        <v>279</v>
      </c>
      <c r="H107" s="74"/>
      <c r="I107" s="188" t="s">
        <v>280</v>
      </c>
      <c r="J107" s="185">
        <f>H107*F107</f>
        <v>0</v>
      </c>
      <c r="K107" s="188" t="s">
        <v>57</v>
      </c>
      <c r="L107" s="185"/>
      <c r="M107" s="185"/>
    </row>
    <row r="108" spans="1:29" ht="13.8" thickBot="1" x14ac:dyDescent="0.3">
      <c r="B108" s="182"/>
      <c r="C108" s="182" t="s">
        <v>698</v>
      </c>
      <c r="D108" s="188">
        <f>F130/2</f>
        <v>4.5</v>
      </c>
      <c r="E108" s="182" t="s">
        <v>282</v>
      </c>
      <c r="F108" s="74">
        <f>+D108*8</f>
        <v>36</v>
      </c>
      <c r="G108" s="184" t="s">
        <v>256</v>
      </c>
      <c r="H108" s="74">
        <v>0.83</v>
      </c>
      <c r="I108" s="188" t="s">
        <v>257</v>
      </c>
      <c r="J108" s="185">
        <f>H108*F108</f>
        <v>29.88</v>
      </c>
      <c r="K108" s="188" t="s">
        <v>57</v>
      </c>
      <c r="L108" s="185"/>
      <c r="M108" s="185"/>
    </row>
    <row r="109" spans="1:29" ht="13.8" thickBot="1" x14ac:dyDescent="0.3">
      <c r="B109" s="182"/>
      <c r="C109" s="182" t="s">
        <v>686</v>
      </c>
      <c r="D109" s="188">
        <f>D108</f>
        <v>4.5</v>
      </c>
      <c r="E109" s="182" t="s">
        <v>282</v>
      </c>
      <c r="F109" s="74">
        <v>11.88</v>
      </c>
      <c r="G109" s="184" t="s">
        <v>212</v>
      </c>
      <c r="H109" s="74">
        <v>4</v>
      </c>
      <c r="I109" s="188" t="s">
        <v>206</v>
      </c>
      <c r="J109" s="185">
        <f t="shared" ref="J109:J113" si="10">H109*F109</f>
        <v>47.52</v>
      </c>
      <c r="K109" s="188" t="s">
        <v>57</v>
      </c>
      <c r="L109" s="185"/>
      <c r="M109" s="185"/>
    </row>
    <row r="110" spans="1:29" ht="13.8" thickBot="1" x14ac:dyDescent="0.3">
      <c r="B110" s="182"/>
      <c r="C110" s="182" t="s">
        <v>284</v>
      </c>
      <c r="D110" s="185"/>
      <c r="E110" s="188"/>
      <c r="F110" s="74"/>
      <c r="G110" s="184" t="s">
        <v>256</v>
      </c>
      <c r="H110" s="74"/>
      <c r="I110" s="188" t="s">
        <v>257</v>
      </c>
      <c r="J110" s="185">
        <f t="shared" si="10"/>
        <v>0</v>
      </c>
      <c r="K110" s="188" t="s">
        <v>57</v>
      </c>
      <c r="L110" s="185"/>
      <c r="M110" s="185"/>
    </row>
    <row r="111" spans="1:29" ht="13.8" thickBot="1" x14ac:dyDescent="0.3">
      <c r="B111" s="182"/>
      <c r="C111" s="182" t="s">
        <v>286</v>
      </c>
      <c r="D111" s="185"/>
      <c r="E111" s="188"/>
      <c r="F111" s="74"/>
      <c r="G111" s="184" t="s">
        <v>256</v>
      </c>
      <c r="H111" s="74"/>
      <c r="I111" s="188" t="s">
        <v>257</v>
      </c>
      <c r="J111" s="185">
        <f t="shared" si="10"/>
        <v>0</v>
      </c>
      <c r="K111" s="188" t="s">
        <v>57</v>
      </c>
      <c r="L111" s="185"/>
      <c r="M111" s="185"/>
    </row>
    <row r="112" spans="1:29" ht="13.8" thickBot="1" x14ac:dyDescent="0.3">
      <c r="B112" s="182"/>
      <c r="C112" s="182" t="s">
        <v>286</v>
      </c>
      <c r="D112" s="185"/>
      <c r="E112" s="188"/>
      <c r="F112" s="74"/>
      <c r="G112" s="184"/>
      <c r="H112" s="74"/>
      <c r="I112" s="188"/>
      <c r="J112" s="185">
        <f t="shared" si="10"/>
        <v>0</v>
      </c>
      <c r="K112" s="188" t="s">
        <v>57</v>
      </c>
      <c r="L112" s="185"/>
      <c r="M112" s="185"/>
      <c r="AB112" s="5"/>
      <c r="AC112" s="5"/>
    </row>
    <row r="113" spans="1:29" ht="13.8" thickBot="1" x14ac:dyDescent="0.3">
      <c r="B113" s="182"/>
      <c r="C113" s="182" t="s">
        <v>286</v>
      </c>
      <c r="D113" s="185"/>
      <c r="E113" s="185"/>
      <c r="F113" s="74"/>
      <c r="G113" s="185"/>
      <c r="H113" s="74"/>
      <c r="I113" s="185"/>
      <c r="J113" s="185">
        <f t="shared" si="10"/>
        <v>0</v>
      </c>
      <c r="K113" s="188" t="s">
        <v>57</v>
      </c>
      <c r="L113" s="185"/>
      <c r="M113" s="185"/>
    </row>
    <row r="114" spans="1:29" s="5" customFormat="1" x14ac:dyDescent="0.25">
      <c r="A114" s="564"/>
      <c r="B114" s="185"/>
      <c r="C114" s="207" t="s">
        <v>54</v>
      </c>
      <c r="D114" s="207"/>
      <c r="E114" s="207"/>
      <c r="F114" s="207"/>
      <c r="G114" s="207"/>
      <c r="H114" s="207"/>
      <c r="I114" s="207"/>
      <c r="J114" s="207">
        <f>SUM(J107:J113)</f>
        <v>77.400000000000006</v>
      </c>
      <c r="K114" s="208" t="s">
        <v>57</v>
      </c>
      <c r="L114" s="207"/>
      <c r="M114" s="207"/>
      <c r="AB114"/>
      <c r="AC114"/>
    </row>
    <row r="115" spans="1:29" x14ac:dyDescent="0.25">
      <c r="B115" s="207"/>
      <c r="C115" s="185"/>
      <c r="D115" s="185"/>
      <c r="E115" s="185"/>
      <c r="F115" s="185"/>
      <c r="G115" s="185"/>
      <c r="H115" s="185"/>
      <c r="I115" s="185"/>
      <c r="J115" s="185"/>
      <c r="K115" s="185"/>
      <c r="L115" s="185"/>
      <c r="M115" s="185"/>
    </row>
    <row r="117" spans="1:29" ht="15.6" x14ac:dyDescent="0.3">
      <c r="B117" s="88" t="s">
        <v>287</v>
      </c>
      <c r="C117" s="79"/>
      <c r="D117" s="79"/>
      <c r="E117" s="79"/>
      <c r="F117" s="79"/>
      <c r="G117" s="79"/>
      <c r="H117" s="79"/>
      <c r="I117" s="79"/>
      <c r="J117" s="79"/>
      <c r="K117" s="79"/>
      <c r="L117" s="79"/>
      <c r="M117" s="79"/>
    </row>
    <row r="118" spans="1:29" ht="15.6" x14ac:dyDescent="0.3">
      <c r="B118" s="88"/>
      <c r="C118" s="79"/>
      <c r="D118" s="79"/>
      <c r="E118" s="79"/>
      <c r="F118" s="79"/>
      <c r="G118" s="79"/>
      <c r="H118" s="79"/>
      <c r="I118" s="79"/>
      <c r="J118" s="79"/>
      <c r="K118" s="79"/>
      <c r="L118" s="79"/>
      <c r="M118" s="79"/>
      <c r="AB118" s="5"/>
      <c r="AC118" s="5"/>
    </row>
    <row r="119" spans="1:29" ht="15" customHeight="1" x14ac:dyDescent="0.25">
      <c r="B119" s="1096" t="s">
        <v>699</v>
      </c>
      <c r="C119" s="1096"/>
      <c r="D119" s="1096"/>
      <c r="E119" s="1096"/>
      <c r="F119" s="1096"/>
      <c r="G119" s="1096"/>
      <c r="H119" s="1096"/>
      <c r="I119" s="1096"/>
      <c r="J119" s="1096"/>
      <c r="K119" s="1096"/>
      <c r="L119" s="1096"/>
      <c r="M119" s="1096"/>
    </row>
    <row r="120" spans="1:29" s="5" customFormat="1" ht="15.6" x14ac:dyDescent="0.3">
      <c r="A120" s="564"/>
      <c r="B120" s="88"/>
      <c r="C120" s="79"/>
      <c r="D120" s="79"/>
      <c r="E120" s="83"/>
      <c r="F120" s="83"/>
      <c r="G120" s="83"/>
      <c r="H120" s="84"/>
      <c r="I120" s="84"/>
      <c r="J120" s="83"/>
      <c r="K120" s="83"/>
      <c r="L120" s="84"/>
      <c r="M120" s="84"/>
      <c r="N120"/>
      <c r="O120"/>
      <c r="P120"/>
      <c r="Q120"/>
      <c r="R120"/>
      <c r="S120"/>
      <c r="T120"/>
      <c r="U120"/>
      <c r="AB120"/>
      <c r="AC120"/>
    </row>
    <row r="121" spans="1:29" ht="15.6" x14ac:dyDescent="0.3">
      <c r="B121" s="88"/>
      <c r="C121" s="79"/>
      <c r="D121" s="79"/>
      <c r="E121" s="1069" t="s">
        <v>290</v>
      </c>
      <c r="F121" s="1069"/>
      <c r="G121" s="1069"/>
      <c r="H121" s="1070" t="s">
        <v>113</v>
      </c>
      <c r="I121" s="1070"/>
      <c r="J121" s="1069" t="s">
        <v>291</v>
      </c>
      <c r="K121" s="1069"/>
      <c r="L121" s="1070" t="s">
        <v>113</v>
      </c>
      <c r="M121" s="1070"/>
    </row>
    <row r="122" spans="1:29" ht="33" customHeight="1" thickBot="1" x14ac:dyDescent="0.3">
      <c r="B122" s="78"/>
      <c r="C122" s="79"/>
      <c r="D122" s="79"/>
      <c r="E122" s="79"/>
      <c r="F122" s="79"/>
      <c r="G122" s="79"/>
      <c r="H122" s="79"/>
      <c r="I122" s="79"/>
      <c r="J122" s="79"/>
      <c r="K122" s="79"/>
      <c r="L122" s="79"/>
      <c r="M122" s="79"/>
      <c r="N122" s="5"/>
      <c r="O122" s="5"/>
      <c r="P122" s="5"/>
      <c r="Q122" s="5"/>
      <c r="R122" s="5"/>
      <c r="S122" s="5"/>
      <c r="T122" s="5"/>
      <c r="U122" s="5"/>
    </row>
    <row r="123" spans="1:29" ht="13.8" thickBot="1" x14ac:dyDescent="0.3">
      <c r="B123" s="79"/>
      <c r="C123" s="80" t="s">
        <v>292</v>
      </c>
      <c r="D123" s="79"/>
      <c r="E123" s="79"/>
      <c r="F123" s="91">
        <v>2</v>
      </c>
      <c r="G123" s="82" t="s">
        <v>293</v>
      </c>
      <c r="H123" s="93">
        <v>14.5</v>
      </c>
      <c r="I123" s="82" t="s">
        <v>294</v>
      </c>
      <c r="J123" s="92"/>
      <c r="K123" s="82" t="s">
        <v>293</v>
      </c>
      <c r="L123" s="93">
        <v>14.5</v>
      </c>
      <c r="M123" s="82" t="s">
        <v>294</v>
      </c>
    </row>
    <row r="124" spans="1:29" ht="13.8" thickBot="1" x14ac:dyDescent="0.3">
      <c r="B124" s="79"/>
      <c r="C124" s="80" t="s">
        <v>831</v>
      </c>
      <c r="D124" s="79"/>
      <c r="E124" s="79"/>
      <c r="F124" s="91">
        <v>3</v>
      </c>
      <c r="G124" s="82" t="s">
        <v>293</v>
      </c>
      <c r="H124" s="90">
        <f t="shared" ref="H124:H129" si="11">$H$123</f>
        <v>14.5</v>
      </c>
      <c r="I124" s="82" t="s">
        <v>294</v>
      </c>
      <c r="J124" s="92"/>
      <c r="K124" s="82" t="s">
        <v>293</v>
      </c>
      <c r="L124" s="90">
        <f t="shared" ref="L124:L129" si="12">$L$123</f>
        <v>14.5</v>
      </c>
      <c r="M124" s="82" t="s">
        <v>294</v>
      </c>
    </row>
    <row r="125" spans="1:29" ht="13.8" thickBot="1" x14ac:dyDescent="0.3">
      <c r="B125" s="79"/>
      <c r="C125" s="80" t="s">
        <v>381</v>
      </c>
      <c r="D125" s="79"/>
      <c r="E125" s="79"/>
      <c r="F125" s="91">
        <v>2</v>
      </c>
      <c r="G125" s="82" t="s">
        <v>293</v>
      </c>
      <c r="H125" s="90">
        <f t="shared" si="11"/>
        <v>14.5</v>
      </c>
      <c r="I125" s="82" t="s">
        <v>294</v>
      </c>
      <c r="J125" s="92"/>
      <c r="K125" s="82" t="s">
        <v>293</v>
      </c>
      <c r="L125" s="90">
        <f t="shared" si="12"/>
        <v>14.5</v>
      </c>
      <c r="M125" s="82" t="s">
        <v>294</v>
      </c>
    </row>
    <row r="126" spans="1:29" ht="13.8" thickBot="1" x14ac:dyDescent="0.3">
      <c r="B126" s="79"/>
      <c r="C126" s="80" t="s">
        <v>864</v>
      </c>
      <c r="D126" s="79"/>
      <c r="E126" s="79"/>
      <c r="F126" s="91">
        <v>2</v>
      </c>
      <c r="G126" s="82" t="s">
        <v>293</v>
      </c>
      <c r="H126" s="90">
        <f t="shared" si="11"/>
        <v>14.5</v>
      </c>
      <c r="I126" s="82" t="s">
        <v>294</v>
      </c>
      <c r="J126" s="92"/>
      <c r="K126" s="82" t="s">
        <v>293</v>
      </c>
      <c r="L126" s="90">
        <f t="shared" si="12"/>
        <v>14.5</v>
      </c>
      <c r="M126" s="82" t="s">
        <v>294</v>
      </c>
    </row>
    <row r="127" spans="1:29" ht="13.8" thickBot="1" x14ac:dyDescent="0.3">
      <c r="B127" s="79"/>
      <c r="C127" s="80" t="s">
        <v>431</v>
      </c>
      <c r="D127" s="79"/>
      <c r="E127" s="79"/>
      <c r="F127" s="92"/>
      <c r="G127" s="82" t="s">
        <v>293</v>
      </c>
      <c r="H127" s="90">
        <f t="shared" si="11"/>
        <v>14.5</v>
      </c>
      <c r="I127" s="82" t="s">
        <v>294</v>
      </c>
      <c r="J127" s="75"/>
      <c r="K127" s="82" t="s">
        <v>293</v>
      </c>
      <c r="L127" s="90">
        <f t="shared" si="12"/>
        <v>14.5</v>
      </c>
      <c r="M127" s="82" t="s">
        <v>294</v>
      </c>
    </row>
    <row r="128" spans="1:29" ht="13.8" thickBot="1" x14ac:dyDescent="0.3">
      <c r="B128" s="79"/>
      <c r="C128" s="80" t="s">
        <v>431</v>
      </c>
      <c r="D128" s="79"/>
      <c r="E128" s="79"/>
      <c r="F128" s="92"/>
      <c r="G128" s="82" t="s">
        <v>293</v>
      </c>
      <c r="H128" s="90">
        <f t="shared" si="11"/>
        <v>14.5</v>
      </c>
      <c r="I128" s="82" t="s">
        <v>294</v>
      </c>
      <c r="J128" s="75"/>
      <c r="K128" s="82" t="s">
        <v>293</v>
      </c>
      <c r="L128" s="90">
        <f t="shared" si="12"/>
        <v>14.5</v>
      </c>
      <c r="M128" s="82" t="s">
        <v>294</v>
      </c>
    </row>
    <row r="129" spans="2:21" ht="13.8" thickBot="1" x14ac:dyDescent="0.3">
      <c r="B129" s="79"/>
      <c r="C129" s="80" t="s">
        <v>431</v>
      </c>
      <c r="D129" s="81"/>
      <c r="E129" s="81"/>
      <c r="F129" s="75"/>
      <c r="G129" s="82" t="s">
        <v>293</v>
      </c>
      <c r="H129" s="90">
        <f t="shared" si="11"/>
        <v>14.5</v>
      </c>
      <c r="I129" s="82" t="s">
        <v>294</v>
      </c>
      <c r="J129" s="75"/>
      <c r="K129" s="82" t="s">
        <v>293</v>
      </c>
      <c r="L129" s="90">
        <f t="shared" si="12"/>
        <v>14.5</v>
      </c>
      <c r="M129" s="82" t="s">
        <v>294</v>
      </c>
    </row>
    <row r="130" spans="2:21" x14ac:dyDescent="0.25">
      <c r="B130" s="209"/>
      <c r="C130" s="210" t="s">
        <v>54</v>
      </c>
      <c r="D130" s="211"/>
      <c r="E130" s="211"/>
      <c r="F130" s="212">
        <f>SUM(F123:F129)</f>
        <v>9</v>
      </c>
      <c r="G130" s="209" t="s">
        <v>293</v>
      </c>
      <c r="H130" s="213">
        <f>F130*H123</f>
        <v>130.5</v>
      </c>
      <c r="I130" s="209" t="s">
        <v>57</v>
      </c>
      <c r="J130" s="212">
        <f>SUM(J123:J129)</f>
        <v>0</v>
      </c>
      <c r="K130" s="209" t="s">
        <v>293</v>
      </c>
      <c r="L130" s="213">
        <f>J130*L123</f>
        <v>0</v>
      </c>
      <c r="M130" s="209" t="s">
        <v>57</v>
      </c>
    </row>
    <row r="132" spans="2:21" ht="40.200000000000003" customHeight="1" x14ac:dyDescent="0.25">
      <c r="N132" s="5"/>
      <c r="O132" s="5"/>
      <c r="P132" s="5"/>
      <c r="Q132" s="5"/>
      <c r="R132" s="5"/>
      <c r="S132" s="5"/>
      <c r="T132" s="5"/>
      <c r="U132" s="5"/>
    </row>
    <row r="135" spans="2:21" ht="37.950000000000003" customHeight="1" x14ac:dyDescent="0.25"/>
    <row r="145" spans="1:29" x14ac:dyDescent="0.25">
      <c r="AB145" s="5"/>
      <c r="AC145" s="5"/>
    </row>
    <row r="147" spans="1:29" s="5" customFormat="1" x14ac:dyDescent="0.25">
      <c r="A147" s="564"/>
      <c r="B147"/>
      <c r="C147"/>
      <c r="D147"/>
      <c r="E147"/>
      <c r="F147"/>
      <c r="G147"/>
      <c r="H147"/>
      <c r="I147"/>
      <c r="J147"/>
      <c r="K147"/>
      <c r="L147"/>
      <c r="M147"/>
      <c r="N147"/>
      <c r="O147"/>
      <c r="P147"/>
      <c r="Q147"/>
      <c r="R147"/>
      <c r="S147"/>
      <c r="T147"/>
      <c r="U147"/>
      <c r="AB147"/>
      <c r="AC147"/>
    </row>
    <row r="149" spans="1:29" x14ac:dyDescent="0.25">
      <c r="N149" s="5"/>
      <c r="O149" s="5"/>
      <c r="P149" s="5"/>
      <c r="Q149" s="5"/>
      <c r="R149" s="5"/>
      <c r="S149" s="5"/>
      <c r="T149" s="5"/>
      <c r="U149" s="5"/>
    </row>
  </sheetData>
  <mergeCells count="37">
    <mergeCell ref="B2:C2"/>
    <mergeCell ref="B4:L4"/>
    <mergeCell ref="B11:D11"/>
    <mergeCell ref="B55:D55"/>
    <mergeCell ref="B24:E24"/>
    <mergeCell ref="B25:E25"/>
    <mergeCell ref="B26:D26"/>
    <mergeCell ref="B29:C29"/>
    <mergeCell ref="C32:D32"/>
    <mergeCell ref="B36:D36"/>
    <mergeCell ref="C39:D39"/>
    <mergeCell ref="B43:D43"/>
    <mergeCell ref="C46:D46"/>
    <mergeCell ref="B50:C50"/>
    <mergeCell ref="C53:D53"/>
    <mergeCell ref="B60:D60"/>
    <mergeCell ref="B64:D64"/>
    <mergeCell ref="B67:E67"/>
    <mergeCell ref="L67:M67"/>
    <mergeCell ref="F69:G69"/>
    <mergeCell ref="H69:I69"/>
    <mergeCell ref="J69:K69"/>
    <mergeCell ref="B62:D62"/>
    <mergeCell ref="F75:G75"/>
    <mergeCell ref="H75:I75"/>
    <mergeCell ref="J75:K75"/>
    <mergeCell ref="F82:G82"/>
    <mergeCell ref="H82:I82"/>
    <mergeCell ref="J82:K82"/>
    <mergeCell ref="F97:G97"/>
    <mergeCell ref="H97:I97"/>
    <mergeCell ref="J97:K97"/>
    <mergeCell ref="B119:M119"/>
    <mergeCell ref="E121:G121"/>
    <mergeCell ref="H121:I121"/>
    <mergeCell ref="J121:K121"/>
    <mergeCell ref="L121:M121"/>
  </mergeCells>
  <hyperlinks>
    <hyperlink ref="B2" location="Tilakokonaisuus!A1" display="PALAA ETUSIVULLE" xr:uid="{9F9D98CE-B655-3C41-95C4-95B8068AE0D2}"/>
    <hyperlink ref="B2:C2" location="'Gårdens info'!A1" display="TILL FRAMSIDAN" xr:uid="{94406280-2CD6-494D-91EF-8DE1B52874A9}"/>
    <hyperlink ref="B24:E24" location="'Gårdens info'!C97" display="ALLMÄNNA KOSTNADER, vallens andel" xr:uid="{0EE192D6-9E98-5F4F-9C47-DD707B55DC21}"/>
    <hyperlink ref="B29:C29" location="Omaisuus!B15" display="RAKENNUKSET" xr:uid="{979717D1-B69B-0C4A-9205-E15B761A49EC}"/>
    <hyperlink ref="B36:D36" location="Omaisuus!B28" display="KONEET JA KALUSTO" xr:uid="{5F711E9E-9FCF-7C45-A3C9-E84A7D58DD0D}"/>
    <hyperlink ref="B43:D43" location="Omaisuus!B51" display="PIDEMPIAIKAISET TUOTANTOVÄLINEET" xr:uid="{FBD1A1CC-97BF-6048-B7F9-1681739067B9}"/>
    <hyperlink ref="B50:C50" location="Omaisuus!B70" display="SALAOJAT" xr:uid="{FF8053B0-69D2-7F4E-9FE9-718874A177C5}"/>
    <hyperlink ref="L67" location="'Avomaan mansikka'!B2" display="PALAA SIVUN YLÄLAITAAN" xr:uid="{4C51E003-5AA9-DD43-B6A8-EEB28286FF2D}"/>
    <hyperlink ref="L67:M67" location="Vall!A1" display="TILL SIDANS BÖRJAN" xr:uid="{979635D4-2F11-EF4C-BED4-699D91ADFAB9}"/>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2:EB94"/>
  <sheetViews>
    <sheetView zoomScale="70" zoomScaleNormal="70" workbookViewId="0">
      <selection activeCell="N58" sqref="N58"/>
    </sheetView>
  </sheetViews>
  <sheetFormatPr defaultColWidth="11.44140625" defaultRowHeight="13.2" x14ac:dyDescent="0.25"/>
  <cols>
    <col min="1" max="1" width="3.6640625" customWidth="1"/>
    <col min="2" max="2" width="47.109375" customWidth="1"/>
    <col min="3" max="3" width="12.109375" customWidth="1"/>
    <col min="4" max="4" width="8.109375" customWidth="1"/>
    <col min="5" max="5" width="10.44140625" bestFit="1" customWidth="1"/>
    <col min="6" max="6" width="10.6640625" bestFit="1" customWidth="1"/>
    <col min="7" max="7" width="7.109375" customWidth="1"/>
    <col min="8" max="8" width="14" customWidth="1"/>
    <col min="9" max="9" width="14.5546875" customWidth="1"/>
    <col min="10" max="10" width="12.33203125" customWidth="1"/>
    <col min="11" max="11" width="16.109375" customWidth="1"/>
    <col min="12" max="12" width="11.33203125" customWidth="1"/>
    <col min="13" max="13" width="14.6640625" bestFit="1" customWidth="1"/>
    <col min="14" max="14" width="8.44140625" customWidth="1"/>
    <col min="15" max="15" width="6.6640625" bestFit="1" customWidth="1"/>
    <col min="16" max="16" width="9.5546875" bestFit="1" customWidth="1"/>
    <col min="17" max="17" width="16.33203125" bestFit="1" customWidth="1"/>
    <col min="18" max="19" width="16.44140625" bestFit="1" customWidth="1"/>
    <col min="20" max="22" width="23.88671875" bestFit="1" customWidth="1"/>
    <col min="23" max="23" width="21.5546875" bestFit="1" customWidth="1"/>
    <col min="24" max="24" width="17.44140625" bestFit="1" customWidth="1"/>
    <col min="25" max="25" width="18.6640625" bestFit="1" customWidth="1"/>
    <col min="26" max="26" width="16.6640625" bestFit="1" customWidth="1"/>
    <col min="27" max="27" width="15.6640625" bestFit="1" customWidth="1"/>
    <col min="28" max="28" width="17" bestFit="1" customWidth="1"/>
    <col min="29" max="30" width="7.33203125" bestFit="1" customWidth="1"/>
    <col min="31" max="31" width="6" bestFit="1" customWidth="1"/>
    <col min="32" max="32" width="7" bestFit="1" customWidth="1"/>
    <col min="33" max="33" width="8.5546875" customWidth="1"/>
    <col min="34" max="34" width="19.109375" customWidth="1"/>
    <col min="35" max="35" width="6.44140625" bestFit="1" customWidth="1"/>
    <col min="36" max="36" width="23.109375" customWidth="1"/>
    <col min="37" max="37" width="10.6640625" bestFit="1" customWidth="1"/>
    <col min="38" max="38" width="10.6640625" customWidth="1"/>
    <col min="39" max="39" width="6.109375" bestFit="1" customWidth="1"/>
    <col min="40" max="40" width="6.6640625" bestFit="1" customWidth="1"/>
    <col min="41" max="41" width="10.33203125" customWidth="1"/>
    <col min="42" max="47" width="6.6640625" customWidth="1"/>
    <col min="48" max="48" width="11.6640625" customWidth="1"/>
    <col min="49" max="49" width="17.44140625" bestFit="1" customWidth="1"/>
    <col min="50" max="50" width="18.6640625" bestFit="1" customWidth="1"/>
    <col min="51" max="51" width="16.6640625" bestFit="1" customWidth="1"/>
    <col min="52" max="52" width="15.6640625" bestFit="1" customWidth="1"/>
    <col min="53" max="53" width="17" bestFit="1" customWidth="1"/>
    <col min="54" max="55" width="7.33203125" bestFit="1" customWidth="1"/>
    <col min="56" max="56" width="6" bestFit="1" customWidth="1"/>
    <col min="57" max="57" width="7" bestFit="1" customWidth="1"/>
    <col min="58" max="58" width="7" customWidth="1"/>
    <col min="59" max="59" width="19" customWidth="1"/>
    <col min="60" max="60" width="6.44140625" bestFit="1" customWidth="1"/>
    <col min="61" max="61" width="10.6640625" bestFit="1" customWidth="1"/>
    <col min="62" max="62" width="10.6640625" customWidth="1"/>
    <col min="63" max="63" width="6" customWidth="1"/>
    <col min="64" max="64" width="6.6640625" bestFit="1" customWidth="1"/>
    <col min="65" max="71" width="6.6640625" customWidth="1"/>
    <col min="72" max="72" width="13.6640625" customWidth="1"/>
    <col min="73" max="73" width="12.33203125" customWidth="1"/>
    <col min="74" max="74" width="13.109375" customWidth="1"/>
    <col min="75" max="75" width="16.6640625" bestFit="1" customWidth="1"/>
    <col min="76" max="76" width="15.6640625" bestFit="1" customWidth="1"/>
    <col min="77" max="77" width="17" bestFit="1" customWidth="1"/>
    <col min="78" max="79" width="7.33203125" bestFit="1" customWidth="1"/>
    <col min="80" max="80" width="6" bestFit="1" customWidth="1"/>
    <col min="81" max="81" width="7" bestFit="1" customWidth="1"/>
    <col min="82" max="82" width="7" customWidth="1"/>
    <col min="83" max="83" width="14" customWidth="1"/>
    <col min="84" max="84" width="6.44140625" bestFit="1" customWidth="1"/>
    <col min="85" max="85" width="10.6640625" bestFit="1" customWidth="1"/>
    <col min="86" max="86" width="10.6640625" customWidth="1"/>
    <col min="87" max="88" width="6.6640625" bestFit="1" customWidth="1"/>
    <col min="89" max="89" width="12.109375" customWidth="1"/>
    <col min="90" max="90" width="15.33203125" customWidth="1"/>
    <col min="91" max="91" width="11.6640625" customWidth="1"/>
    <col min="92" max="92" width="10.6640625" customWidth="1"/>
    <col min="93" max="93" width="10.33203125" customWidth="1"/>
    <col min="94" max="94" width="11" customWidth="1"/>
    <col min="95" max="95" width="10.6640625" customWidth="1"/>
    <col min="96" max="96" width="16.44140625" customWidth="1"/>
    <col min="97" max="97" width="17.44140625" customWidth="1"/>
    <col min="98" max="98" width="14.6640625" customWidth="1"/>
    <col min="99" max="99" width="14.33203125" customWidth="1"/>
    <col min="100" max="100" width="13.44140625" customWidth="1"/>
    <col min="101" max="101" width="10.33203125" customWidth="1"/>
    <col min="102" max="103" width="7.33203125" bestFit="1" customWidth="1"/>
    <col min="104" max="104" width="6" bestFit="1" customWidth="1"/>
    <col min="105" max="105" width="7" bestFit="1" customWidth="1"/>
    <col min="106" max="106" width="9.6640625" customWidth="1"/>
    <col min="107" max="107" width="19.5546875" customWidth="1"/>
    <col min="108" max="108" width="6.44140625" bestFit="1" customWidth="1"/>
    <col min="109" max="109" width="10.6640625" bestFit="1" customWidth="1"/>
    <col min="110" max="110" width="10.6640625" customWidth="1"/>
    <col min="111" max="111" width="7.109375" customWidth="1"/>
    <col min="112" max="112" width="6.6640625" bestFit="1" customWidth="1"/>
    <col min="113" max="115" width="6.6640625" customWidth="1"/>
    <col min="116" max="116" width="11.6640625" customWidth="1"/>
    <col min="117" max="119" width="6.6640625" customWidth="1"/>
    <col min="120" max="120" width="12.33203125" customWidth="1"/>
    <col min="121" max="121" width="15.44140625" customWidth="1"/>
    <col min="122" max="122" width="11.33203125" customWidth="1"/>
    <col min="123" max="123" width="14.6640625" customWidth="1"/>
    <col min="124" max="124" width="14.33203125" customWidth="1"/>
    <col min="125" max="125" width="15.6640625" customWidth="1"/>
    <col min="126" max="126" width="7.109375" customWidth="1"/>
    <col min="127" max="127" width="7.33203125" bestFit="1" customWidth="1"/>
    <col min="128" max="128" width="6" bestFit="1" customWidth="1"/>
    <col min="129" max="129" width="7" bestFit="1" customWidth="1"/>
    <col min="130" max="130" width="7" customWidth="1"/>
    <col min="131" max="131" width="13.109375" customWidth="1"/>
    <col min="132" max="354" width="8.6640625" customWidth="1"/>
  </cols>
  <sheetData>
    <row r="2" spans="1:132" ht="21" x14ac:dyDescent="0.4">
      <c r="A2" s="955" t="s">
        <v>871</v>
      </c>
      <c r="B2" s="956"/>
      <c r="C2" s="956"/>
    </row>
    <row r="3" spans="1:132" ht="19.95" customHeight="1" x14ac:dyDescent="0.25">
      <c r="A3" s="1162" t="s">
        <v>201</v>
      </c>
      <c r="B3" s="1162"/>
    </row>
    <row r="4" spans="1:132" ht="21" x14ac:dyDescent="0.4">
      <c r="A4" s="70"/>
      <c r="B4" s="71"/>
    </row>
    <row r="6" spans="1:132" ht="13.8" thickBot="1" x14ac:dyDescent="0.3">
      <c r="A6" s="13"/>
      <c r="C6" s="419"/>
      <c r="F6" s="13"/>
    </row>
    <row r="7" spans="1:132" ht="13.8" thickBot="1" x14ac:dyDescent="0.3">
      <c r="A7" s="13"/>
      <c r="B7" s="19" t="s">
        <v>872</v>
      </c>
      <c r="C7" s="417">
        <v>2024</v>
      </c>
      <c r="D7" s="11"/>
      <c r="F7" s="13"/>
    </row>
    <row r="8" spans="1:132" ht="13.8" thickBot="1" x14ac:dyDescent="0.3">
      <c r="A8" s="13"/>
      <c r="B8" s="769" t="s">
        <v>873</v>
      </c>
      <c r="C8" s="418">
        <v>0.05</v>
      </c>
      <c r="D8" s="20"/>
      <c r="F8" s="13"/>
      <c r="J8" s="13"/>
    </row>
    <row r="9" spans="1:132" ht="13.8" thickBot="1" x14ac:dyDescent="0.3">
      <c r="A9" s="13"/>
      <c r="B9" s="21" t="s">
        <v>437</v>
      </c>
      <c r="C9" s="571">
        <v>2E-3</v>
      </c>
      <c r="D9" s="22"/>
      <c r="E9" s="13"/>
      <c r="F9" s="13"/>
    </row>
    <row r="10" spans="1:132" x14ac:dyDescent="0.25">
      <c r="A10" s="13"/>
      <c r="F10" s="1009"/>
    </row>
    <row r="11" spans="1:132" ht="39.6" x14ac:dyDescent="0.25">
      <c r="A11" s="18"/>
      <c r="B11" s="6"/>
      <c r="C11" s="7"/>
      <c r="D11" s="6"/>
      <c r="E11" s="7" t="s">
        <v>874</v>
      </c>
      <c r="G11" s="6"/>
      <c r="H11" s="8" t="s">
        <v>875</v>
      </c>
      <c r="I11" s="8" t="s">
        <v>876</v>
      </c>
      <c r="J11" s="8" t="s">
        <v>877</v>
      </c>
      <c r="K11" s="8" t="s">
        <v>878</v>
      </c>
      <c r="L11" s="1157" t="s">
        <v>879</v>
      </c>
      <c r="M11" s="1158"/>
      <c r="N11" s="1158"/>
      <c r="O11" s="1158"/>
      <c r="P11" s="1158"/>
      <c r="Q11" s="1158"/>
      <c r="R11" s="1158"/>
      <c r="S11" s="1158"/>
      <c r="T11" s="1158"/>
      <c r="U11" s="1158"/>
      <c r="V11" s="1158"/>
      <c r="W11" s="1158"/>
      <c r="X11" s="1158"/>
      <c r="Y11" s="1158"/>
      <c r="Z11" s="1158"/>
      <c r="AA11" s="1158"/>
      <c r="AB11" s="1158"/>
      <c r="AC11" s="1158"/>
      <c r="AD11" s="1158"/>
      <c r="AE11" s="1158"/>
      <c r="AF11" s="1158"/>
      <c r="AG11" s="1158"/>
      <c r="AH11" s="1158"/>
      <c r="AI11" s="1158"/>
      <c r="AJ11" s="37" t="s">
        <v>880</v>
      </c>
      <c r="AK11" s="1159" t="s">
        <v>881</v>
      </c>
      <c r="AL11" s="1160"/>
      <c r="AM11" s="1160"/>
      <c r="AN11" s="1160"/>
      <c r="AO11" s="1160"/>
      <c r="AP11" s="1160"/>
      <c r="AQ11" s="1160"/>
      <c r="AR11" s="1160"/>
      <c r="AS11" s="1160"/>
      <c r="AT11" s="1160"/>
      <c r="AU11" s="1160"/>
      <c r="AV11" s="1160"/>
      <c r="AW11" s="1160"/>
      <c r="AX11" s="1160"/>
      <c r="AY11" s="1160"/>
      <c r="AZ11" s="1160"/>
      <c r="BA11" s="1160"/>
      <c r="BB11" s="1160"/>
      <c r="BC11" s="1160"/>
      <c r="BD11" s="1160"/>
      <c r="BE11" s="1160"/>
      <c r="BF11" s="1160"/>
      <c r="BG11" s="1160"/>
      <c r="BH11" s="1161"/>
      <c r="BI11" s="1163" t="s">
        <v>882</v>
      </c>
      <c r="BJ11" s="1164"/>
      <c r="BK11" s="1164"/>
      <c r="BL11" s="1164"/>
      <c r="BM11" s="1164"/>
      <c r="BN11" s="1164"/>
      <c r="BO11" s="1164"/>
      <c r="BP11" s="1164"/>
      <c r="BQ11" s="1164"/>
      <c r="BR11" s="1164"/>
      <c r="BS11" s="1164"/>
      <c r="BT11" s="1164"/>
      <c r="BU11" s="1164"/>
      <c r="BV11" s="1164"/>
      <c r="BW11" s="1164"/>
      <c r="BX11" s="1164"/>
      <c r="BY11" s="1164"/>
      <c r="BZ11" s="1164"/>
      <c r="CA11" s="1164"/>
      <c r="CB11" s="1164"/>
      <c r="CC11" s="1164"/>
      <c r="CD11" s="1164"/>
      <c r="CE11" s="1164"/>
      <c r="CF11" s="1165"/>
      <c r="CG11" s="1166" t="s">
        <v>883</v>
      </c>
      <c r="CH11" s="1167"/>
      <c r="CI11" s="1167"/>
      <c r="CJ11" s="1167"/>
      <c r="CK11" s="1167"/>
      <c r="CL11" s="1167"/>
      <c r="CM11" s="1167"/>
      <c r="CN11" s="1167"/>
      <c r="CO11" s="1167"/>
      <c r="CP11" s="1167"/>
      <c r="CQ11" s="1167"/>
      <c r="CR11" s="1167"/>
      <c r="CS11" s="1167"/>
      <c r="CT11" s="1167"/>
      <c r="CU11" s="1167"/>
      <c r="CV11" s="1167"/>
      <c r="CW11" s="1167"/>
      <c r="CX11" s="1167"/>
      <c r="CY11" s="1167"/>
      <c r="CZ11" s="1167"/>
      <c r="DA11" s="1167"/>
      <c r="DB11" s="1167"/>
      <c r="DC11" s="1167"/>
      <c r="DD11" s="1168"/>
      <c r="DE11" s="1154" t="s">
        <v>884</v>
      </c>
      <c r="DF11" s="1155"/>
      <c r="DG11" s="1155"/>
      <c r="DH11" s="1155"/>
      <c r="DI11" s="1155"/>
      <c r="DJ11" s="1155"/>
      <c r="DK11" s="1155"/>
      <c r="DL11" s="1155"/>
      <c r="DM11" s="1155"/>
      <c r="DN11" s="1155"/>
      <c r="DO11" s="1155"/>
      <c r="DP11" s="1155"/>
      <c r="DQ11" s="1155"/>
      <c r="DR11" s="1155"/>
      <c r="DS11" s="1155"/>
      <c r="DT11" s="1155"/>
      <c r="DU11" s="1155"/>
      <c r="DV11" s="1155"/>
      <c r="DW11" s="1155"/>
      <c r="DX11" s="1155"/>
      <c r="DY11" s="1155"/>
      <c r="DZ11" s="1155"/>
      <c r="EA11" s="1155"/>
      <c r="EB11" s="1156"/>
    </row>
    <row r="12" spans="1:132" s="4" customFormat="1" ht="26.25" customHeight="1" x14ac:dyDescent="0.25">
      <c r="A12" s="7"/>
      <c r="B12" s="7"/>
      <c r="C12" s="7"/>
      <c r="D12" s="7"/>
      <c r="E12" s="7"/>
      <c r="F12" s="7"/>
      <c r="G12" s="8"/>
      <c r="H12" s="8"/>
      <c r="I12" s="8"/>
      <c r="J12" s="7"/>
      <c r="K12" s="7"/>
      <c r="L12" s="395" t="s">
        <v>11</v>
      </c>
      <c r="M12" s="668" t="s">
        <v>4</v>
      </c>
      <c r="N12" s="396" t="s">
        <v>12</v>
      </c>
      <c r="O12" s="397" t="s">
        <v>13</v>
      </c>
      <c r="P12" s="397" t="s">
        <v>14</v>
      </c>
      <c r="Q12" s="592" t="s">
        <v>507</v>
      </c>
      <c r="R12" s="647" t="s">
        <v>885</v>
      </c>
      <c r="S12" s="647" t="s">
        <v>886</v>
      </c>
      <c r="T12" s="648" t="s">
        <v>18</v>
      </c>
      <c r="U12" s="649" t="s">
        <v>25</v>
      </c>
      <c r="V12" s="650" t="s">
        <v>27</v>
      </c>
      <c r="W12" s="405" t="s">
        <v>26</v>
      </c>
      <c r="X12" s="415" t="s">
        <v>36</v>
      </c>
      <c r="Y12" s="403" t="s">
        <v>41</v>
      </c>
      <c r="Z12" s="524" t="s">
        <v>42</v>
      </c>
      <c r="AA12" s="404" t="s">
        <v>43</v>
      </c>
      <c r="AB12" s="296" t="s">
        <v>44</v>
      </c>
      <c r="AC12" s="414" t="s">
        <v>45</v>
      </c>
      <c r="AD12" s="413" t="s">
        <v>47</v>
      </c>
      <c r="AE12" s="399" t="s">
        <v>48</v>
      </c>
      <c r="AF12" s="400" t="s">
        <v>50</v>
      </c>
      <c r="AG12" s="595" t="s">
        <v>51</v>
      </c>
      <c r="AH12" s="401" t="s">
        <v>52</v>
      </c>
      <c r="AI12" s="402" t="s">
        <v>53</v>
      </c>
      <c r="AJ12" s="38" t="s">
        <v>887</v>
      </c>
      <c r="AK12" s="395" t="s">
        <v>11</v>
      </c>
      <c r="AL12" s="668" t="s">
        <v>4</v>
      </c>
      <c r="AM12" s="396" t="s">
        <v>12</v>
      </c>
      <c r="AN12" s="397" t="s">
        <v>13</v>
      </c>
      <c r="AO12" s="397" t="s">
        <v>14</v>
      </c>
      <c r="AP12" s="592" t="s">
        <v>507</v>
      </c>
      <c r="AQ12" s="647" t="s">
        <v>885</v>
      </c>
      <c r="AR12" s="647" t="s">
        <v>886</v>
      </c>
      <c r="AS12" s="648" t="s">
        <v>18</v>
      </c>
      <c r="AT12" s="649" t="s">
        <v>25</v>
      </c>
      <c r="AU12" s="650" t="s">
        <v>27</v>
      </c>
      <c r="AV12" s="405" t="s">
        <v>26</v>
      </c>
      <c r="AW12" s="415" t="s">
        <v>36</v>
      </c>
      <c r="AX12" s="403" t="s">
        <v>41</v>
      </c>
      <c r="AY12" s="524" t="s">
        <v>42</v>
      </c>
      <c r="AZ12" s="404" t="s">
        <v>43</v>
      </c>
      <c r="BA12" s="296" t="s">
        <v>44</v>
      </c>
      <c r="BB12" s="414" t="s">
        <v>45</v>
      </c>
      <c r="BC12" s="413" t="s">
        <v>47</v>
      </c>
      <c r="BD12" s="399" t="s">
        <v>48</v>
      </c>
      <c r="BE12" s="400" t="s">
        <v>50</v>
      </c>
      <c r="BF12" s="595" t="s">
        <v>51</v>
      </c>
      <c r="BG12" s="401" t="s">
        <v>52</v>
      </c>
      <c r="BH12" s="402" t="s">
        <v>53</v>
      </c>
      <c r="BI12" s="395" t="s">
        <v>11</v>
      </c>
      <c r="BJ12" s="668" t="s">
        <v>4</v>
      </c>
      <c r="BK12" s="396" t="s">
        <v>12</v>
      </c>
      <c r="BL12" s="397" t="s">
        <v>13</v>
      </c>
      <c r="BM12" s="397" t="s">
        <v>14</v>
      </c>
      <c r="BN12" s="592" t="s">
        <v>507</v>
      </c>
      <c r="BO12" s="647" t="s">
        <v>885</v>
      </c>
      <c r="BP12" s="647" t="s">
        <v>886</v>
      </c>
      <c r="BQ12" s="648" t="s">
        <v>18</v>
      </c>
      <c r="BR12" s="649" t="s">
        <v>25</v>
      </c>
      <c r="BS12" s="650" t="s">
        <v>27</v>
      </c>
      <c r="BT12" s="405" t="s">
        <v>26</v>
      </c>
      <c r="BU12" s="415" t="s">
        <v>36</v>
      </c>
      <c r="BV12" s="403" t="s">
        <v>41</v>
      </c>
      <c r="BW12" s="524" t="s">
        <v>42</v>
      </c>
      <c r="BX12" s="404" t="s">
        <v>43</v>
      </c>
      <c r="BY12" s="296" t="s">
        <v>44</v>
      </c>
      <c r="BZ12" s="414" t="s">
        <v>45</v>
      </c>
      <c r="CA12" s="413" t="s">
        <v>47</v>
      </c>
      <c r="CB12" s="399" t="s">
        <v>48</v>
      </c>
      <c r="CC12" s="400" t="s">
        <v>50</v>
      </c>
      <c r="CD12" s="595" t="s">
        <v>51</v>
      </c>
      <c r="CE12" s="401" t="s">
        <v>888</v>
      </c>
      <c r="CF12" s="402" t="s">
        <v>53</v>
      </c>
      <c r="CG12" s="395" t="s">
        <v>11</v>
      </c>
      <c r="CH12" s="668" t="s">
        <v>4</v>
      </c>
      <c r="CI12" s="396" t="s">
        <v>12</v>
      </c>
      <c r="CJ12" s="397" t="s">
        <v>13</v>
      </c>
      <c r="CK12" s="397" t="s">
        <v>14</v>
      </c>
      <c r="CL12" s="592" t="s">
        <v>507</v>
      </c>
      <c r="CM12" s="647" t="s">
        <v>885</v>
      </c>
      <c r="CN12" s="647" t="s">
        <v>886</v>
      </c>
      <c r="CO12" s="648" t="s">
        <v>18</v>
      </c>
      <c r="CP12" s="649" t="s">
        <v>25</v>
      </c>
      <c r="CQ12" s="650" t="s">
        <v>27</v>
      </c>
      <c r="CR12" s="405" t="s">
        <v>26</v>
      </c>
      <c r="CS12" s="415" t="s">
        <v>36</v>
      </c>
      <c r="CT12" s="403" t="s">
        <v>41</v>
      </c>
      <c r="CU12" s="524" t="s">
        <v>42</v>
      </c>
      <c r="CV12" s="404" t="s">
        <v>43</v>
      </c>
      <c r="CW12" s="296" t="s">
        <v>44</v>
      </c>
      <c r="CX12" s="414" t="s">
        <v>45</v>
      </c>
      <c r="CY12" s="413" t="s">
        <v>47</v>
      </c>
      <c r="CZ12" s="399" t="s">
        <v>48</v>
      </c>
      <c r="DA12" s="400" t="s">
        <v>889</v>
      </c>
      <c r="DB12" s="595" t="s">
        <v>51</v>
      </c>
      <c r="DC12" s="401" t="s">
        <v>52</v>
      </c>
      <c r="DD12" s="402" t="s">
        <v>53</v>
      </c>
      <c r="DE12" s="395" t="s">
        <v>11</v>
      </c>
      <c r="DF12" s="668" t="s">
        <v>4</v>
      </c>
      <c r="DG12" s="396" t="s">
        <v>12</v>
      </c>
      <c r="DH12" s="397" t="s">
        <v>13</v>
      </c>
      <c r="DI12" s="397" t="s">
        <v>14</v>
      </c>
      <c r="DJ12" s="592" t="s">
        <v>507</v>
      </c>
      <c r="DK12" s="647" t="s">
        <v>885</v>
      </c>
      <c r="DL12" s="647" t="s">
        <v>886</v>
      </c>
      <c r="DM12" s="648" t="s">
        <v>18</v>
      </c>
      <c r="DN12" s="649" t="s">
        <v>25</v>
      </c>
      <c r="DO12" s="650" t="s">
        <v>27</v>
      </c>
      <c r="DP12" s="405" t="s">
        <v>26</v>
      </c>
      <c r="DQ12" s="415" t="s">
        <v>36</v>
      </c>
      <c r="DR12" s="403" t="s">
        <v>41</v>
      </c>
      <c r="DS12" s="524" t="s">
        <v>42</v>
      </c>
      <c r="DT12" s="404" t="s">
        <v>43</v>
      </c>
      <c r="DU12" s="296" t="s">
        <v>44</v>
      </c>
      <c r="DV12" s="414" t="s">
        <v>45</v>
      </c>
      <c r="DW12" s="413" t="s">
        <v>47</v>
      </c>
      <c r="DX12" s="399" t="s">
        <v>48</v>
      </c>
      <c r="DY12" s="400" t="s">
        <v>50</v>
      </c>
      <c r="DZ12" s="595" t="s">
        <v>51</v>
      </c>
      <c r="EA12" s="401" t="s">
        <v>52</v>
      </c>
      <c r="EB12" s="402" t="s">
        <v>53</v>
      </c>
    </row>
    <row r="13" spans="1:132" ht="13.8" thickBot="1" x14ac:dyDescent="0.3">
      <c r="A13" s="4" t="s">
        <v>69</v>
      </c>
      <c r="C13" s="30"/>
      <c r="H13" s="421"/>
      <c r="J13" s="421"/>
      <c r="K13" s="422"/>
      <c r="L13" s="17"/>
      <c r="Y13" s="31"/>
      <c r="Z13" s="31"/>
      <c r="AJ13" s="39"/>
      <c r="AK13" s="17"/>
      <c r="BI13" s="17"/>
      <c r="CC13" s="596">
        <f>IF(($C$7-$E14&lt;=$H14),(($I14+$J14)/2*$C$8*AF14),0)</f>
        <v>0</v>
      </c>
      <c r="CG13" s="17"/>
      <c r="DE13" s="17"/>
      <c r="DH13" s="31"/>
      <c r="EB13" s="416"/>
    </row>
    <row r="14" spans="1:132" s="594" customFormat="1" ht="13.8" thickBot="1" x14ac:dyDescent="0.3">
      <c r="B14" s="594" t="str">
        <f>'Gårdens info'!C70</f>
        <v>Inkvarteringsutrymme, 200 m2</v>
      </c>
      <c r="E14" s="596">
        <f>'Gårdens info'!J70</f>
        <v>2000</v>
      </c>
      <c r="H14" s="597">
        <v>25</v>
      </c>
      <c r="I14" s="596">
        <f>'Gårdens info'!D70</f>
        <v>111000</v>
      </c>
      <c r="J14" s="597">
        <v>0</v>
      </c>
      <c r="K14" s="598">
        <v>0.01</v>
      </c>
      <c r="L14"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14" s="600">
        <v>0</v>
      </c>
      <c r="N14"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14"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14"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14"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14"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14"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14"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14"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14"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14"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14"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14"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14"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14"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14"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14"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14" s="600">
        <v>0</v>
      </c>
      <c r="AE14" s="600">
        <v>0</v>
      </c>
      <c r="AF14" s="600">
        <v>0</v>
      </c>
      <c r="AG14" s="600">
        <v>0</v>
      </c>
      <c r="AH14" s="600">
        <v>0</v>
      </c>
      <c r="AI14" s="600">
        <v>0</v>
      </c>
      <c r="AJ14" s="604">
        <f>+SUM(L14:AI14)</f>
        <v>1</v>
      </c>
      <c r="AK14" s="602">
        <f t="shared" ref="AK14:BH14" si="0">IF((($C$7-$E14)&lt;=$H14),(($I14-$J14)/$H14*L14),0)</f>
        <v>1200</v>
      </c>
      <c r="AL14" s="596">
        <f t="shared" si="0"/>
        <v>0</v>
      </c>
      <c r="AM14" s="596">
        <f t="shared" si="0"/>
        <v>1200</v>
      </c>
      <c r="AN14" s="596">
        <f t="shared" si="0"/>
        <v>240</v>
      </c>
      <c r="AO14" s="596">
        <f t="shared" si="0"/>
        <v>600</v>
      </c>
      <c r="AP14" s="596">
        <f t="shared" si="0"/>
        <v>240</v>
      </c>
      <c r="AQ14" s="596">
        <f t="shared" si="0"/>
        <v>0</v>
      </c>
      <c r="AR14" s="596">
        <f t="shared" si="0"/>
        <v>0</v>
      </c>
      <c r="AS14" s="596">
        <f t="shared" si="0"/>
        <v>0</v>
      </c>
      <c r="AT14" s="596">
        <f t="shared" si="0"/>
        <v>0</v>
      </c>
      <c r="AU14" s="596">
        <f t="shared" si="0"/>
        <v>0</v>
      </c>
      <c r="AV14" s="596">
        <f t="shared" si="0"/>
        <v>360</v>
      </c>
      <c r="AW14" s="596">
        <f t="shared" si="0"/>
        <v>0</v>
      </c>
      <c r="AX14" s="596">
        <f t="shared" si="0"/>
        <v>0</v>
      </c>
      <c r="AY14" s="596">
        <f t="shared" si="0"/>
        <v>0</v>
      </c>
      <c r="AZ14" s="596">
        <f t="shared" si="0"/>
        <v>0</v>
      </c>
      <c r="BA14" s="596">
        <f t="shared" si="0"/>
        <v>0</v>
      </c>
      <c r="BB14" s="596">
        <f t="shared" si="0"/>
        <v>600</v>
      </c>
      <c r="BC14" s="596">
        <f t="shared" si="0"/>
        <v>0</v>
      </c>
      <c r="BD14" s="596">
        <f t="shared" si="0"/>
        <v>0</v>
      </c>
      <c r="BE14" s="596">
        <f t="shared" si="0"/>
        <v>0</v>
      </c>
      <c r="BF14" s="596">
        <f t="shared" si="0"/>
        <v>0</v>
      </c>
      <c r="BG14" s="596">
        <f t="shared" si="0"/>
        <v>0</v>
      </c>
      <c r="BH14" s="596">
        <f t="shared" si="0"/>
        <v>0</v>
      </c>
      <c r="BI14" s="602">
        <f t="shared" ref="BI14:CF14" si="1">IF(($C$7-$E14&lt;=$H14),(($I14+$J14)/2*$C$8*L14),0)</f>
        <v>750</v>
      </c>
      <c r="BJ14" s="596">
        <f t="shared" si="1"/>
        <v>0</v>
      </c>
      <c r="BK14" s="596">
        <f t="shared" si="1"/>
        <v>750</v>
      </c>
      <c r="BL14" s="596">
        <f t="shared" si="1"/>
        <v>150</v>
      </c>
      <c r="BM14" s="596">
        <f t="shared" si="1"/>
        <v>375</v>
      </c>
      <c r="BN14" s="596">
        <f t="shared" si="1"/>
        <v>150</v>
      </c>
      <c r="BO14" s="596">
        <f t="shared" si="1"/>
        <v>0</v>
      </c>
      <c r="BP14" s="596">
        <f t="shared" si="1"/>
        <v>0</v>
      </c>
      <c r="BQ14" s="596">
        <f t="shared" si="1"/>
        <v>0</v>
      </c>
      <c r="BR14" s="596">
        <f t="shared" si="1"/>
        <v>0</v>
      </c>
      <c r="BS14" s="596">
        <f t="shared" si="1"/>
        <v>0</v>
      </c>
      <c r="BT14" s="596">
        <f t="shared" si="1"/>
        <v>225</v>
      </c>
      <c r="BU14" s="596">
        <f t="shared" si="1"/>
        <v>0</v>
      </c>
      <c r="BV14" s="596">
        <f t="shared" si="1"/>
        <v>0</v>
      </c>
      <c r="BW14" s="596">
        <f t="shared" si="1"/>
        <v>0</v>
      </c>
      <c r="BX14" s="596">
        <f t="shared" si="1"/>
        <v>0</v>
      </c>
      <c r="BY14" s="596">
        <f t="shared" si="1"/>
        <v>0</v>
      </c>
      <c r="BZ14" s="596">
        <f t="shared" si="1"/>
        <v>375</v>
      </c>
      <c r="CA14" s="596">
        <f t="shared" si="1"/>
        <v>0</v>
      </c>
      <c r="CB14" s="596">
        <f t="shared" si="1"/>
        <v>0</v>
      </c>
      <c r="CD14" s="596">
        <f t="shared" si="1"/>
        <v>0</v>
      </c>
      <c r="CE14" s="596">
        <f t="shared" si="1"/>
        <v>0</v>
      </c>
      <c r="CF14" s="596">
        <f t="shared" si="1"/>
        <v>0</v>
      </c>
      <c r="CG14" s="602">
        <f t="shared" ref="CG14:DD14" si="2">$I14*$K14*L14</f>
        <v>300</v>
      </c>
      <c r="CH14" s="596">
        <f t="shared" si="2"/>
        <v>0</v>
      </c>
      <c r="CI14" s="596">
        <f t="shared" si="2"/>
        <v>300</v>
      </c>
      <c r="CJ14" s="596">
        <f t="shared" si="2"/>
        <v>60</v>
      </c>
      <c r="CK14" s="596">
        <f t="shared" si="2"/>
        <v>150</v>
      </c>
      <c r="CL14" s="596">
        <f t="shared" si="2"/>
        <v>60</v>
      </c>
      <c r="CM14" s="596">
        <f t="shared" si="2"/>
        <v>0</v>
      </c>
      <c r="CN14" s="596">
        <f t="shared" si="2"/>
        <v>0</v>
      </c>
      <c r="CO14" s="596">
        <f t="shared" si="2"/>
        <v>0</v>
      </c>
      <c r="CP14" s="596">
        <f t="shared" si="2"/>
        <v>0</v>
      </c>
      <c r="CQ14" s="596">
        <f t="shared" si="2"/>
        <v>0</v>
      </c>
      <c r="CR14" s="596">
        <f t="shared" si="2"/>
        <v>90</v>
      </c>
      <c r="CS14" s="596">
        <f t="shared" si="2"/>
        <v>0</v>
      </c>
      <c r="CT14" s="596">
        <f t="shared" si="2"/>
        <v>0</v>
      </c>
      <c r="CU14" s="596">
        <f t="shared" si="2"/>
        <v>0</v>
      </c>
      <c r="CV14" s="596">
        <f t="shared" si="2"/>
        <v>0</v>
      </c>
      <c r="CW14" s="596">
        <f t="shared" si="2"/>
        <v>0</v>
      </c>
      <c r="CX14" s="596">
        <f t="shared" si="2"/>
        <v>150</v>
      </c>
      <c r="CY14" s="596">
        <f t="shared" si="2"/>
        <v>0</v>
      </c>
      <c r="CZ14" s="596">
        <f t="shared" si="2"/>
        <v>0</v>
      </c>
      <c r="DA14" s="596">
        <f t="shared" si="2"/>
        <v>0</v>
      </c>
      <c r="DB14" s="596">
        <f t="shared" si="2"/>
        <v>0</v>
      </c>
      <c r="DC14" s="596">
        <f t="shared" si="2"/>
        <v>0</v>
      </c>
      <c r="DD14" s="596">
        <f t="shared" si="2"/>
        <v>0</v>
      </c>
      <c r="DE14" s="602">
        <f t="shared" ref="DE14:EB14" si="3">$I14*$C$9*L14</f>
        <v>60</v>
      </c>
      <c r="DF14" s="596">
        <f t="shared" si="3"/>
        <v>0</v>
      </c>
      <c r="DG14" s="596">
        <f t="shared" si="3"/>
        <v>60</v>
      </c>
      <c r="DH14" s="596">
        <f t="shared" si="3"/>
        <v>12</v>
      </c>
      <c r="DI14" s="596">
        <f t="shared" si="3"/>
        <v>30</v>
      </c>
      <c r="DJ14" s="596">
        <f t="shared" si="3"/>
        <v>12</v>
      </c>
      <c r="DK14" s="596">
        <f t="shared" si="3"/>
        <v>0</v>
      </c>
      <c r="DL14" s="596">
        <f t="shared" si="3"/>
        <v>0</v>
      </c>
      <c r="DM14" s="596">
        <f t="shared" si="3"/>
        <v>0</v>
      </c>
      <c r="DN14" s="596">
        <f t="shared" si="3"/>
        <v>0</v>
      </c>
      <c r="DO14" s="596">
        <f t="shared" si="3"/>
        <v>0</v>
      </c>
      <c r="DP14" s="596">
        <f t="shared" si="3"/>
        <v>18</v>
      </c>
      <c r="DQ14" s="596">
        <f t="shared" si="3"/>
        <v>0</v>
      </c>
      <c r="DR14" s="596">
        <f t="shared" si="3"/>
        <v>0</v>
      </c>
      <c r="DS14" s="596">
        <f t="shared" si="3"/>
        <v>0</v>
      </c>
      <c r="DT14" s="596">
        <f t="shared" si="3"/>
        <v>0</v>
      </c>
      <c r="DU14" s="596">
        <f t="shared" si="3"/>
        <v>0</v>
      </c>
      <c r="DV14" s="596">
        <f t="shared" si="3"/>
        <v>30</v>
      </c>
      <c r="DW14" s="596">
        <f t="shared" si="3"/>
        <v>0</v>
      </c>
      <c r="DX14" s="596">
        <f t="shared" si="3"/>
        <v>0</v>
      </c>
      <c r="DY14" s="596">
        <f t="shared" si="3"/>
        <v>0</v>
      </c>
      <c r="DZ14" s="596">
        <f t="shared" si="3"/>
        <v>0</v>
      </c>
      <c r="EA14" s="596">
        <f t="shared" si="3"/>
        <v>0</v>
      </c>
      <c r="EB14" s="603">
        <f t="shared" si="3"/>
        <v>0</v>
      </c>
    </row>
    <row r="15" spans="1:132" s="594" customFormat="1" ht="13.8" thickBot="1" x14ac:dyDescent="0.3">
      <c r="B15" s="594" t="str">
        <f>'Gårdens info'!C71</f>
        <v>Packeri/ lådlager, 100 m2</v>
      </c>
      <c r="E15" s="596">
        <f>'Gårdens info'!J71</f>
        <v>2008</v>
      </c>
      <c r="H15" s="597">
        <v>25</v>
      </c>
      <c r="I15" s="596">
        <f>'Gårdens info'!D71</f>
        <v>44000</v>
      </c>
      <c r="J15" s="597">
        <v>0</v>
      </c>
      <c r="K15" s="598">
        <v>0.01</v>
      </c>
      <c r="L15"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15" s="600">
        <v>0</v>
      </c>
      <c r="N15"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15"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15"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15"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15"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15"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15"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15"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15"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15"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15"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15"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15"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15"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15"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15"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15" s="600">
        <v>0</v>
      </c>
      <c r="AE15" s="600">
        <v>0</v>
      </c>
      <c r="AF15" s="600">
        <v>0</v>
      </c>
      <c r="AG15" s="600">
        <v>0</v>
      </c>
      <c r="AH15" s="600">
        <v>0</v>
      </c>
      <c r="AI15" s="600">
        <v>0</v>
      </c>
      <c r="AJ15" s="604">
        <f t="shared" ref="AJ15:AJ24" si="4">+SUM(L15:AI15)</f>
        <v>1</v>
      </c>
      <c r="AK15" s="602">
        <f t="shared" ref="AK15:AK24" si="5">IF((($C$7-$E15)&lt;=$H15),(($I15-$J15)/$H15*L15),0)</f>
        <v>475.67567567567568</v>
      </c>
      <c r="AL15" s="596">
        <f t="shared" ref="AL15:AU22" si="6">IF((($C$7-$E15)&lt;=$H15),(($I15-$J15)/$H15*M15),0)</f>
        <v>0</v>
      </c>
      <c r="AM15" s="596">
        <f t="shared" si="6"/>
        <v>475.67567567567568</v>
      </c>
      <c r="AN15" s="596">
        <f t="shared" si="6"/>
        <v>95.135135135135144</v>
      </c>
      <c r="AO15" s="596">
        <f t="shared" si="6"/>
        <v>237.83783783783784</v>
      </c>
      <c r="AP15" s="596">
        <f t="shared" si="6"/>
        <v>95.135135135135144</v>
      </c>
      <c r="AQ15" s="596">
        <f t="shared" si="6"/>
        <v>0</v>
      </c>
      <c r="AR15" s="596">
        <f t="shared" si="6"/>
        <v>0</v>
      </c>
      <c r="AS15" s="596">
        <f t="shared" si="6"/>
        <v>0</v>
      </c>
      <c r="AT15" s="596">
        <f t="shared" si="6"/>
        <v>0</v>
      </c>
      <c r="AU15" s="596">
        <f t="shared" si="6"/>
        <v>0</v>
      </c>
      <c r="AV15" s="596">
        <f t="shared" ref="AV15:AV24" si="7">IF((($C$7-$E15)&lt;=$H15),(($I15-$J15)/$H15*W15),0)</f>
        <v>142.70270270270271</v>
      </c>
      <c r="AW15" s="596">
        <f t="shared" ref="AW15:AW24" si="8">IF((($C$7-$E15)&lt;=$H15),(($I15-$J15)/$H15*X15),0)</f>
        <v>0</v>
      </c>
      <c r="AX15" s="596">
        <f t="shared" ref="AX15:AX24" si="9">IF((($C$7-$E15)&lt;=$H15),(($I15-$J15)/$H15*Y15),0)</f>
        <v>0</v>
      </c>
      <c r="AY15" s="596">
        <f t="shared" ref="AY15:AY24" si="10">IF((($C$7-$E15)&lt;=$H15),(($I15-$J15)/$H15*Z15),0)</f>
        <v>0</v>
      </c>
      <c r="AZ15" s="596">
        <f t="shared" ref="AZ15:AZ24" si="11">IF((($C$7-$E15)&lt;=$H15),(($I15-$J15)/$H15*AA15),0)</f>
        <v>0</v>
      </c>
      <c r="BA15" s="596">
        <f t="shared" ref="BA15:BA24" si="12">IF((($C$7-$E15)&lt;=$H15),(($I15-$J15)/$H15*AB15),0)</f>
        <v>0</v>
      </c>
      <c r="BB15" s="596">
        <f t="shared" ref="BB15:BB23" si="13">IF((($C$7-$E15)&lt;=$H15),(($I15-$J15)/$H15*AC15),0)</f>
        <v>237.83783783783784</v>
      </c>
      <c r="BC15" s="596">
        <f t="shared" ref="BC15:BC24" si="14">IF((($C$7-$E15)&lt;=$H15),(($I15-$J15)/$H15*AD15),0)</f>
        <v>0</v>
      </c>
      <c r="BD15" s="596">
        <f t="shared" ref="BD15:BD24" si="15">IF((($C$7-$E15)&lt;=$H15),(($I15-$J15)/$H15*AE15),0)</f>
        <v>0</v>
      </c>
      <c r="BE15" s="596">
        <f t="shared" ref="BE15:BF22" si="16">IF((($C$7-$E15)&lt;=$H15),(($I15-$J15)/$H15*AF15),0)</f>
        <v>0</v>
      </c>
      <c r="BF15" s="596">
        <f t="shared" si="16"/>
        <v>0</v>
      </c>
      <c r="BG15" s="596">
        <f t="shared" ref="BG15:BG24" si="17">IF((($C$7-$E15)&lt;=$H15),(($I15-$J15)/$H15*AH15),0)</f>
        <v>0</v>
      </c>
      <c r="BH15" s="596">
        <f t="shared" ref="BH15:BH24" si="18">IF((($C$7-$E15)&lt;=$H15),(($I15-$J15)/$H15*AI15),0)</f>
        <v>0</v>
      </c>
      <c r="BI15" s="602">
        <f t="shared" ref="BI15:BS21" si="19">IF(($C$7-$E15&lt;=$H15),(($I15+$J15)/2*$C$8*L15),0)</f>
        <v>297.29729729729729</v>
      </c>
      <c r="BJ15" s="596">
        <f t="shared" si="19"/>
        <v>0</v>
      </c>
      <c r="BK15" s="596">
        <f t="shared" si="19"/>
        <v>297.29729729729729</v>
      </c>
      <c r="BL15" s="596">
        <f t="shared" si="19"/>
        <v>59.45945945945946</v>
      </c>
      <c r="BM15" s="596">
        <f t="shared" si="19"/>
        <v>148.64864864864865</v>
      </c>
      <c r="BN15" s="596">
        <f t="shared" si="19"/>
        <v>59.45945945945946</v>
      </c>
      <c r="BO15" s="596">
        <f t="shared" si="19"/>
        <v>0</v>
      </c>
      <c r="BP15" s="596">
        <f t="shared" si="19"/>
        <v>0</v>
      </c>
      <c r="BQ15" s="596">
        <f t="shared" si="19"/>
        <v>0</v>
      </c>
      <c r="BR15" s="596">
        <f t="shared" si="19"/>
        <v>0</v>
      </c>
      <c r="BS15" s="596">
        <f t="shared" si="19"/>
        <v>0</v>
      </c>
      <c r="BT15" s="596">
        <f t="shared" ref="BT15:BT24" si="20">IF(($C$7-$E15&lt;=$H15),(($I15+$J15)/2*$C$8*W15),0)</f>
        <v>89.189189189189193</v>
      </c>
      <c r="BU15" s="596">
        <f t="shared" ref="BU15:BU24" si="21">IF(($C$7-$E15&lt;=$H15),(($I15+$J15)/2*$C$8*X15),0)</f>
        <v>0</v>
      </c>
      <c r="BV15" s="596">
        <f t="shared" ref="BV15:BV24" si="22">IF(($C$7-$E15&lt;=$H15),(($I15+$J15)/2*$C$8*Y15),0)</f>
        <v>0</v>
      </c>
      <c r="BW15" s="596">
        <f t="shared" ref="BW15:BW24" si="23">IF(($C$7-$E15&lt;=$H15),(($I15+$J15)/2*$C$8*Z15),0)</f>
        <v>0</v>
      </c>
      <c r="BX15" s="596">
        <f t="shared" ref="BX15:BX24" si="24">IF(($C$7-$E15&lt;=$H15),(($I15+$J15)/2*$C$8*AA15),0)</f>
        <v>0</v>
      </c>
      <c r="BY15" s="596">
        <f t="shared" ref="BY15:BY24" si="25">IF(($C$7-$E15&lt;=$H15),(($I15+$J15)/2*$C$8*AB15),0)</f>
        <v>0</v>
      </c>
      <c r="BZ15" s="596">
        <f t="shared" ref="BZ15:BZ24" si="26">IF(($C$7-$E15&lt;=$H15),(($I15+$J15)/2*$C$8*AC15),0)</f>
        <v>148.64864864864865</v>
      </c>
      <c r="CA15" s="596">
        <f t="shared" ref="CA15:CA24" si="27">IF(($C$7-$E15&lt;=$H15),(($I15+$J15)/2*$C$8*AD15),0)</f>
        <v>0</v>
      </c>
      <c r="CB15" s="596">
        <f t="shared" ref="CB15:CB24" si="28">IF(($C$7-$E15&lt;=$H15),(($I15+$J15)/2*$C$8*AE15),0)</f>
        <v>0</v>
      </c>
      <c r="CC15" s="596">
        <f t="shared" ref="CC15:CD21" si="29">IF(($C$7-$E15&lt;=$H15),(($I15+$J15)/2*$C$8*AF15),0)</f>
        <v>0</v>
      </c>
      <c r="CD15" s="596">
        <f t="shared" si="29"/>
        <v>0</v>
      </c>
      <c r="CE15" s="596">
        <f t="shared" ref="CE15:CE24" si="30">IF(($C$7-$E15&lt;=$H15),(($I15+$J15)/2*$C$8*AH15),0)</f>
        <v>0</v>
      </c>
      <c r="CF15" s="596">
        <f t="shared" ref="CF15:CF24" si="31">IF(($C$7-$E15&lt;=$H15),(($I15+$J15)/2*$C$8*AI15),0)</f>
        <v>0</v>
      </c>
      <c r="CG15" s="602">
        <f t="shared" ref="CG15:CQ21" si="32">$I15*$K15*L15</f>
        <v>118.91891891891892</v>
      </c>
      <c r="CH15" s="596">
        <f t="shared" si="32"/>
        <v>0</v>
      </c>
      <c r="CI15" s="596">
        <f t="shared" si="32"/>
        <v>118.91891891891892</v>
      </c>
      <c r="CJ15" s="596">
        <f t="shared" si="32"/>
        <v>23.783783783783786</v>
      </c>
      <c r="CK15" s="596">
        <f t="shared" si="32"/>
        <v>59.45945945945946</v>
      </c>
      <c r="CL15" s="596">
        <f t="shared" si="32"/>
        <v>23.783783783783786</v>
      </c>
      <c r="CM15" s="596">
        <f t="shared" si="32"/>
        <v>0</v>
      </c>
      <c r="CN15" s="596">
        <f t="shared" si="32"/>
        <v>0</v>
      </c>
      <c r="CO15" s="596">
        <f t="shared" si="32"/>
        <v>0</v>
      </c>
      <c r="CP15" s="596">
        <f t="shared" si="32"/>
        <v>0</v>
      </c>
      <c r="CQ15" s="596">
        <f t="shared" si="32"/>
        <v>0</v>
      </c>
      <c r="CR15" s="596">
        <f t="shared" ref="CR15:CR24" si="33">$I15*$K15*W15</f>
        <v>35.675675675675677</v>
      </c>
      <c r="CS15" s="596">
        <f t="shared" ref="CS15:CS24" si="34">$I15*$K15*X15</f>
        <v>0</v>
      </c>
      <c r="CT15" s="596">
        <f t="shared" ref="CT15:CT24" si="35">$I15*$K15*Y15</f>
        <v>0</v>
      </c>
      <c r="CU15" s="596">
        <f t="shared" ref="CU15:CU24" si="36">$I15*$K15*Z15</f>
        <v>0</v>
      </c>
      <c r="CV15" s="596">
        <f t="shared" ref="CV15:CV23" si="37">$I15*$K15*AA15</f>
        <v>0</v>
      </c>
      <c r="CW15" s="596">
        <f t="shared" ref="CW15:CW24" si="38">$I15*$K15*AB15</f>
        <v>0</v>
      </c>
      <c r="CX15" s="596">
        <f t="shared" ref="CX15:CX24" si="39">$I15*$K15*AC15</f>
        <v>59.45945945945946</v>
      </c>
      <c r="CY15" s="596">
        <f t="shared" ref="CY15:CY24" si="40">$I15*$K15*AD15</f>
        <v>0</v>
      </c>
      <c r="CZ15" s="596">
        <f t="shared" ref="CZ15:CZ24" si="41">$I15*$K15*AE15</f>
        <v>0</v>
      </c>
      <c r="DA15" s="596">
        <f t="shared" ref="DA15:DB21" si="42">$I15*$K15*AF15</f>
        <v>0</v>
      </c>
      <c r="DB15" s="596">
        <f t="shared" si="42"/>
        <v>0</v>
      </c>
      <c r="DC15" s="596">
        <f t="shared" ref="DC15:DC24" si="43">$I15*$K15*AH15</f>
        <v>0</v>
      </c>
      <c r="DD15" s="596">
        <f t="shared" ref="DD15:DD24" si="44">$I15*$K15*AI15</f>
        <v>0</v>
      </c>
      <c r="DE15" s="602">
        <f t="shared" ref="DE15:DE24" si="45">$I15*$C$9*L15</f>
        <v>23.783783783783786</v>
      </c>
      <c r="DF15" s="596">
        <f t="shared" ref="DF15:DO21" si="46">$I15*$C$9*M15</f>
        <v>0</v>
      </c>
      <c r="DG15" s="596">
        <f t="shared" si="46"/>
        <v>23.783783783783786</v>
      </c>
      <c r="DH15" s="596">
        <f t="shared" si="46"/>
        <v>4.756756756756757</v>
      </c>
      <c r="DI15" s="596">
        <f t="shared" si="46"/>
        <v>11.891891891891893</v>
      </c>
      <c r="DJ15" s="596">
        <f t="shared" si="46"/>
        <v>4.756756756756757</v>
      </c>
      <c r="DK15" s="596">
        <f t="shared" si="46"/>
        <v>0</v>
      </c>
      <c r="DL15" s="596">
        <f t="shared" si="46"/>
        <v>0</v>
      </c>
      <c r="DM15" s="596">
        <f t="shared" si="46"/>
        <v>0</v>
      </c>
      <c r="DN15" s="596">
        <f t="shared" si="46"/>
        <v>0</v>
      </c>
      <c r="DO15" s="596">
        <f t="shared" si="46"/>
        <v>0</v>
      </c>
      <c r="DP15" s="596">
        <f t="shared" ref="DP15:DP24" si="47">$I15*$C$9*W15</f>
        <v>7.1351351351351351</v>
      </c>
      <c r="DQ15" s="596">
        <f t="shared" ref="DQ15:DQ24" si="48">$I15*$C$9*X15</f>
        <v>0</v>
      </c>
      <c r="DR15" s="596">
        <f t="shared" ref="DR15:DR24" si="49">$I15*$C$9*Y15</f>
        <v>0</v>
      </c>
      <c r="DS15" s="596">
        <f t="shared" ref="DS15:DS24" si="50">$I15*$C$9*Z15</f>
        <v>0</v>
      </c>
      <c r="DT15" s="596">
        <f t="shared" ref="DT15:DT24" si="51">$I15*$C$9*AA15</f>
        <v>0</v>
      </c>
      <c r="DU15" s="596">
        <f t="shared" ref="DU15:DU24" si="52">$I15*$C$9*AB15</f>
        <v>0</v>
      </c>
      <c r="DV15" s="596">
        <f t="shared" ref="DV15:DV24" si="53">$I15*$C$9*AC15</f>
        <v>11.891891891891893</v>
      </c>
      <c r="DW15" s="596">
        <f t="shared" ref="DW15:DW24" si="54">$I15*$C$9*AD15</f>
        <v>0</v>
      </c>
      <c r="DX15" s="596">
        <f t="shared" ref="DX15:DX24" si="55">$I15*$C$9*AE15</f>
        <v>0</v>
      </c>
      <c r="DY15" s="596">
        <f t="shared" ref="DY15:DZ21" si="56">$I15*$C$9*AF15</f>
        <v>0</v>
      </c>
      <c r="DZ15" s="596">
        <f t="shared" si="56"/>
        <v>0</v>
      </c>
      <c r="EA15" s="596">
        <f t="shared" ref="EA15:EA24" si="57">$I15*$C$9*AH15</f>
        <v>0</v>
      </c>
      <c r="EB15" s="603">
        <f t="shared" ref="EB15:EB24" si="58">$I15*$C$9*AI15</f>
        <v>0</v>
      </c>
    </row>
    <row r="16" spans="1:132" ht="13.8" thickBot="1" x14ac:dyDescent="0.3">
      <c r="B16" s="13" t="str">
        <f>'Gårdens info'!C72</f>
        <v>Maskinhall, 250 m2</v>
      </c>
      <c r="D16" s="13"/>
      <c r="E16" s="33">
        <f>'Gårdens info'!J72</f>
        <v>2008</v>
      </c>
      <c r="G16" s="13"/>
      <c r="H16" s="417">
        <v>25</v>
      </c>
      <c r="I16" s="33">
        <f>'Gårdens info'!D72</f>
        <v>75000</v>
      </c>
      <c r="J16" s="417">
        <v>0</v>
      </c>
      <c r="K16" s="418">
        <v>0.01</v>
      </c>
      <c r="L16"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16"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16"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16"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16"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16"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16"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16"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16"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16"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16"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16"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16"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16"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16"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16"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16"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16"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16"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16"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16"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16"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16"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16"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16" s="410">
        <f>+SUM(L16:AI16)</f>
        <v>1</v>
      </c>
      <c r="AK16" s="23">
        <f t="shared" si="5"/>
        <v>638.29787234042556</v>
      </c>
      <c r="AL16" s="1">
        <f t="shared" si="6"/>
        <v>638.29787234042556</v>
      </c>
      <c r="AM16" s="1">
        <f t="shared" si="6"/>
        <v>638.29787234042556</v>
      </c>
      <c r="AN16" s="1">
        <f t="shared" si="6"/>
        <v>127.6595744680851</v>
      </c>
      <c r="AO16" s="1">
        <f t="shared" si="6"/>
        <v>319.14893617021278</v>
      </c>
      <c r="AP16" s="1">
        <f t="shared" si="6"/>
        <v>127.6595744680851</v>
      </c>
      <c r="AQ16" s="1">
        <f t="shared" si="6"/>
        <v>0</v>
      </c>
      <c r="AR16" s="1">
        <f t="shared" si="6"/>
        <v>0</v>
      </c>
      <c r="AS16" s="1">
        <f t="shared" si="6"/>
        <v>0</v>
      </c>
      <c r="AT16" s="1">
        <f t="shared" si="6"/>
        <v>0</v>
      </c>
      <c r="AU16" s="1">
        <f t="shared" si="6"/>
        <v>0</v>
      </c>
      <c r="AV16" s="1">
        <f t="shared" si="7"/>
        <v>191.48936170212764</v>
      </c>
      <c r="AW16" s="1">
        <f t="shared" si="8"/>
        <v>0</v>
      </c>
      <c r="AX16" s="1">
        <f t="shared" si="9"/>
        <v>0</v>
      </c>
      <c r="AY16" s="1">
        <f t="shared" si="10"/>
        <v>0</v>
      </c>
      <c r="AZ16" s="1">
        <f t="shared" si="11"/>
        <v>0</v>
      </c>
      <c r="BA16" s="1">
        <f t="shared" si="12"/>
        <v>0</v>
      </c>
      <c r="BB16" s="1">
        <f t="shared" si="13"/>
        <v>319.14893617021278</v>
      </c>
      <c r="BC16" s="1">
        <f t="shared" si="14"/>
        <v>0</v>
      </c>
      <c r="BD16" s="1">
        <f t="shared" si="15"/>
        <v>0</v>
      </c>
      <c r="BE16" s="1">
        <f t="shared" si="16"/>
        <v>0</v>
      </c>
      <c r="BF16" s="1">
        <f t="shared" si="16"/>
        <v>0</v>
      </c>
      <c r="BG16" s="1">
        <f t="shared" si="17"/>
        <v>0</v>
      </c>
      <c r="BH16" s="1">
        <f t="shared" si="18"/>
        <v>0</v>
      </c>
      <c r="BI16" s="23">
        <f t="shared" si="19"/>
        <v>398.93617021276594</v>
      </c>
      <c r="BJ16" s="1">
        <f t="shared" si="19"/>
        <v>398.93617021276594</v>
      </c>
      <c r="BK16" s="1">
        <f t="shared" si="19"/>
        <v>398.93617021276594</v>
      </c>
      <c r="BL16" s="1">
        <f t="shared" si="19"/>
        <v>79.787234042553195</v>
      </c>
      <c r="BM16" s="1">
        <f t="shared" si="19"/>
        <v>199.46808510638297</v>
      </c>
      <c r="BN16" s="1">
        <f t="shared" si="19"/>
        <v>79.787234042553195</v>
      </c>
      <c r="BO16" s="1">
        <f t="shared" si="19"/>
        <v>0</v>
      </c>
      <c r="BP16" s="1">
        <f t="shared" si="19"/>
        <v>0</v>
      </c>
      <c r="BQ16" s="1">
        <f t="shared" si="19"/>
        <v>0</v>
      </c>
      <c r="BR16" s="1">
        <f t="shared" si="19"/>
        <v>0</v>
      </c>
      <c r="BS16" s="1">
        <f t="shared" si="19"/>
        <v>0</v>
      </c>
      <c r="BT16" s="1">
        <f t="shared" si="20"/>
        <v>119.68085106382978</v>
      </c>
      <c r="BU16" s="1">
        <f t="shared" si="21"/>
        <v>0</v>
      </c>
      <c r="BV16" s="1">
        <f t="shared" si="22"/>
        <v>0</v>
      </c>
      <c r="BW16" s="1">
        <f t="shared" si="23"/>
        <v>0</v>
      </c>
      <c r="BX16" s="1">
        <f t="shared" si="24"/>
        <v>0</v>
      </c>
      <c r="BY16" s="1">
        <f t="shared" si="25"/>
        <v>0</v>
      </c>
      <c r="BZ16" s="1">
        <f t="shared" si="26"/>
        <v>199.46808510638297</v>
      </c>
      <c r="CA16" s="1">
        <f t="shared" si="27"/>
        <v>0</v>
      </c>
      <c r="CB16" s="1">
        <f t="shared" si="28"/>
        <v>0</v>
      </c>
      <c r="CC16" s="1">
        <f t="shared" si="29"/>
        <v>0</v>
      </c>
      <c r="CD16" s="1">
        <f t="shared" si="29"/>
        <v>0</v>
      </c>
      <c r="CE16" s="1">
        <f t="shared" si="30"/>
        <v>0</v>
      </c>
      <c r="CF16" s="1">
        <f t="shared" si="31"/>
        <v>0</v>
      </c>
      <c r="CG16" s="23">
        <f t="shared" si="32"/>
        <v>159.57446808510639</v>
      </c>
      <c r="CH16" s="1">
        <f t="shared" si="32"/>
        <v>159.57446808510639</v>
      </c>
      <c r="CI16" s="1">
        <f t="shared" si="32"/>
        <v>159.57446808510639</v>
      </c>
      <c r="CJ16" s="1">
        <f t="shared" si="32"/>
        <v>31.914893617021274</v>
      </c>
      <c r="CK16" s="1">
        <f t="shared" si="32"/>
        <v>79.787234042553195</v>
      </c>
      <c r="CL16" s="1">
        <f t="shared" si="32"/>
        <v>31.914893617021274</v>
      </c>
      <c r="CM16" s="1">
        <f t="shared" si="32"/>
        <v>0</v>
      </c>
      <c r="CN16" s="1">
        <f t="shared" si="32"/>
        <v>0</v>
      </c>
      <c r="CO16" s="1">
        <f t="shared" si="32"/>
        <v>0</v>
      </c>
      <c r="CP16" s="1">
        <f t="shared" si="32"/>
        <v>0</v>
      </c>
      <c r="CQ16" s="1">
        <f t="shared" si="32"/>
        <v>0</v>
      </c>
      <c r="CR16" s="1">
        <f t="shared" si="33"/>
        <v>47.87234042553191</v>
      </c>
      <c r="CS16" s="1">
        <f t="shared" si="34"/>
        <v>0</v>
      </c>
      <c r="CT16" s="1">
        <f t="shared" si="35"/>
        <v>0</v>
      </c>
      <c r="CU16" s="1">
        <f t="shared" si="36"/>
        <v>0</v>
      </c>
      <c r="CV16" s="1">
        <f t="shared" si="37"/>
        <v>0</v>
      </c>
      <c r="CW16" s="1">
        <f t="shared" si="38"/>
        <v>0</v>
      </c>
      <c r="CX16" s="1">
        <f t="shared" si="39"/>
        <v>79.787234042553195</v>
      </c>
      <c r="CY16" s="1">
        <f t="shared" si="40"/>
        <v>0</v>
      </c>
      <c r="CZ16" s="1">
        <f t="shared" si="41"/>
        <v>0</v>
      </c>
      <c r="DA16" s="1">
        <f t="shared" si="42"/>
        <v>0</v>
      </c>
      <c r="DB16" s="1">
        <f t="shared" si="42"/>
        <v>0</v>
      </c>
      <c r="DC16" s="1">
        <f t="shared" si="43"/>
        <v>0</v>
      </c>
      <c r="DD16" s="1">
        <f t="shared" si="44"/>
        <v>0</v>
      </c>
      <c r="DE16" s="23">
        <f t="shared" si="45"/>
        <v>31.914893617021278</v>
      </c>
      <c r="DF16" s="1">
        <f t="shared" si="46"/>
        <v>31.914893617021278</v>
      </c>
      <c r="DG16" s="1">
        <f t="shared" si="46"/>
        <v>31.914893617021278</v>
      </c>
      <c r="DH16" s="1">
        <f t="shared" si="46"/>
        <v>6.3829787234042552</v>
      </c>
      <c r="DI16" s="1">
        <f t="shared" si="46"/>
        <v>15.957446808510639</v>
      </c>
      <c r="DJ16" s="1">
        <f t="shared" si="46"/>
        <v>6.3829787234042552</v>
      </c>
      <c r="DK16" s="1">
        <f t="shared" si="46"/>
        <v>0</v>
      </c>
      <c r="DL16" s="1">
        <f t="shared" si="46"/>
        <v>0</v>
      </c>
      <c r="DM16" s="1">
        <f t="shared" si="46"/>
        <v>0</v>
      </c>
      <c r="DN16" s="1">
        <f t="shared" si="46"/>
        <v>0</v>
      </c>
      <c r="DO16" s="1">
        <f t="shared" si="46"/>
        <v>0</v>
      </c>
      <c r="DP16" s="1">
        <f t="shared" si="47"/>
        <v>9.5744680851063819</v>
      </c>
      <c r="DQ16" s="1">
        <f t="shared" si="48"/>
        <v>0</v>
      </c>
      <c r="DR16" s="1">
        <f t="shared" si="49"/>
        <v>0</v>
      </c>
      <c r="DS16" s="1">
        <f t="shared" si="50"/>
        <v>0</v>
      </c>
      <c r="DT16" s="1">
        <f t="shared" si="51"/>
        <v>0</v>
      </c>
      <c r="DU16" s="1">
        <f t="shared" si="52"/>
        <v>0</v>
      </c>
      <c r="DV16" s="1">
        <f t="shared" si="53"/>
        <v>15.957446808510639</v>
      </c>
      <c r="DW16" s="1">
        <f t="shared" si="54"/>
        <v>0</v>
      </c>
      <c r="DX16" s="1">
        <f t="shared" si="55"/>
        <v>0</v>
      </c>
      <c r="DY16" s="1">
        <f t="shared" si="56"/>
        <v>0</v>
      </c>
      <c r="DZ16" s="1">
        <f t="shared" si="56"/>
        <v>0</v>
      </c>
      <c r="EA16" s="1">
        <f t="shared" si="57"/>
        <v>0</v>
      </c>
      <c r="EB16" s="24">
        <f t="shared" si="58"/>
        <v>0</v>
      </c>
    </row>
    <row r="17" spans="1:132" s="594" customFormat="1" ht="13.8" thickBot="1" x14ac:dyDescent="0.3">
      <c r="B17" s="594" t="str">
        <f>'Gårdens info'!C73</f>
        <v>Kylutrymme, 20 m2</v>
      </c>
      <c r="E17" s="596">
        <f>'Gårdens info'!J73</f>
        <v>2010</v>
      </c>
      <c r="H17" s="597">
        <v>25</v>
      </c>
      <c r="I17" s="596">
        <f>'Gårdens info'!D73</f>
        <v>80000</v>
      </c>
      <c r="J17" s="597">
        <v>0</v>
      </c>
      <c r="K17" s="598">
        <v>0.01</v>
      </c>
      <c r="L17"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17" s="600">
        <v>0</v>
      </c>
      <c r="N17"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17" s="600">
        <f>'Gårdens info'!$D$14/('Gårdens info'!$D$14+'Gårdens info'!$D$15)</f>
        <v>0.2857142857142857</v>
      </c>
      <c r="P17" s="600">
        <f>'Gårdens info'!$D$15/('Gårdens info'!$D$14+'Gårdens info'!$D$15)</f>
        <v>0.7142857142857143</v>
      </c>
      <c r="Q17" s="600">
        <v>0</v>
      </c>
      <c r="R17"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17"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17"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17"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17"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17"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17"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17"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17"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17"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17"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17"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17" s="600">
        <v>0</v>
      </c>
      <c r="AE17" s="600">
        <v>0</v>
      </c>
      <c r="AF17" s="600">
        <v>0</v>
      </c>
      <c r="AG17" s="600">
        <v>0</v>
      </c>
      <c r="AH17" s="600">
        <v>0</v>
      </c>
      <c r="AI17" s="600">
        <v>0</v>
      </c>
      <c r="AJ17" s="604">
        <f t="shared" si="4"/>
        <v>1.7567567567567568</v>
      </c>
      <c r="AK17" s="602">
        <f t="shared" si="5"/>
        <v>864.8648648648649</v>
      </c>
      <c r="AL17" s="596">
        <f t="shared" si="6"/>
        <v>0</v>
      </c>
      <c r="AM17" s="596">
        <f t="shared" si="6"/>
        <v>864.8648648648649</v>
      </c>
      <c r="AN17" s="596">
        <f t="shared" si="6"/>
        <v>914.28571428571422</v>
      </c>
      <c r="AO17" s="596">
        <f t="shared" si="6"/>
        <v>2285.7142857142858</v>
      </c>
      <c r="AP17" s="596">
        <f t="shared" si="6"/>
        <v>0</v>
      </c>
      <c r="AQ17" s="596">
        <f t="shared" si="6"/>
        <v>0</v>
      </c>
      <c r="AR17" s="596">
        <f t="shared" si="6"/>
        <v>0</v>
      </c>
      <c r="AS17" s="596">
        <f t="shared" si="6"/>
        <v>0</v>
      </c>
      <c r="AT17" s="596">
        <f t="shared" si="6"/>
        <v>0</v>
      </c>
      <c r="AU17" s="596">
        <f t="shared" si="6"/>
        <v>0</v>
      </c>
      <c r="AV17" s="596">
        <f t="shared" si="7"/>
        <v>259.45945945945948</v>
      </c>
      <c r="AW17" s="596">
        <f t="shared" si="8"/>
        <v>0</v>
      </c>
      <c r="AX17" s="596">
        <f t="shared" si="9"/>
        <v>0</v>
      </c>
      <c r="AY17" s="596">
        <f t="shared" si="10"/>
        <v>0</v>
      </c>
      <c r="AZ17" s="596">
        <f t="shared" si="11"/>
        <v>0</v>
      </c>
      <c r="BA17" s="596">
        <f t="shared" si="12"/>
        <v>0</v>
      </c>
      <c r="BB17" s="596">
        <f t="shared" si="13"/>
        <v>432.43243243243245</v>
      </c>
      <c r="BC17" s="596">
        <f t="shared" si="14"/>
        <v>0</v>
      </c>
      <c r="BD17" s="596">
        <f t="shared" si="15"/>
        <v>0</v>
      </c>
      <c r="BE17" s="596">
        <f t="shared" si="16"/>
        <v>0</v>
      </c>
      <c r="BF17" s="596">
        <f t="shared" si="16"/>
        <v>0</v>
      </c>
      <c r="BG17" s="596">
        <f t="shared" si="17"/>
        <v>0</v>
      </c>
      <c r="BH17" s="596">
        <f t="shared" si="18"/>
        <v>0</v>
      </c>
      <c r="BI17" s="602">
        <f t="shared" si="19"/>
        <v>540.54054054054052</v>
      </c>
      <c r="BJ17" s="596">
        <f t="shared" si="19"/>
        <v>0</v>
      </c>
      <c r="BK17" s="596">
        <f t="shared" si="19"/>
        <v>540.54054054054052</v>
      </c>
      <c r="BL17" s="596">
        <f t="shared" si="19"/>
        <v>571.42857142857144</v>
      </c>
      <c r="BM17" s="596">
        <f t="shared" si="19"/>
        <v>1428.5714285714287</v>
      </c>
      <c r="BN17" s="596">
        <f t="shared" si="19"/>
        <v>0</v>
      </c>
      <c r="BO17" s="596">
        <f t="shared" si="19"/>
        <v>0</v>
      </c>
      <c r="BP17" s="596">
        <f t="shared" si="19"/>
        <v>0</v>
      </c>
      <c r="BQ17" s="596">
        <f t="shared" si="19"/>
        <v>0</v>
      </c>
      <c r="BR17" s="596">
        <f t="shared" si="19"/>
        <v>0</v>
      </c>
      <c r="BS17" s="596">
        <f t="shared" si="19"/>
        <v>0</v>
      </c>
      <c r="BT17" s="596">
        <f t="shared" si="20"/>
        <v>162.16216216216216</v>
      </c>
      <c r="BU17" s="596">
        <f t="shared" si="21"/>
        <v>0</v>
      </c>
      <c r="BV17" s="596">
        <f t="shared" si="22"/>
        <v>0</v>
      </c>
      <c r="BW17" s="596">
        <f t="shared" si="23"/>
        <v>0</v>
      </c>
      <c r="BX17" s="596">
        <f t="shared" si="24"/>
        <v>0</v>
      </c>
      <c r="BY17" s="596">
        <f t="shared" si="25"/>
        <v>0</v>
      </c>
      <c r="BZ17" s="596">
        <f t="shared" si="26"/>
        <v>270.27027027027026</v>
      </c>
      <c r="CA17" s="596">
        <f t="shared" si="27"/>
        <v>0</v>
      </c>
      <c r="CB17" s="596">
        <f t="shared" si="28"/>
        <v>0</v>
      </c>
      <c r="CC17" s="596">
        <f t="shared" si="29"/>
        <v>0</v>
      </c>
      <c r="CD17" s="596">
        <f t="shared" si="29"/>
        <v>0</v>
      </c>
      <c r="CE17" s="596">
        <f t="shared" si="30"/>
        <v>0</v>
      </c>
      <c r="CF17" s="596">
        <f t="shared" si="31"/>
        <v>0</v>
      </c>
      <c r="CG17" s="602">
        <f t="shared" si="32"/>
        <v>216.21621621621622</v>
      </c>
      <c r="CH17" s="596">
        <f t="shared" si="32"/>
        <v>0</v>
      </c>
      <c r="CI17" s="596">
        <f t="shared" si="32"/>
        <v>216.21621621621622</v>
      </c>
      <c r="CJ17" s="596">
        <f t="shared" si="32"/>
        <v>228.57142857142856</v>
      </c>
      <c r="CK17" s="596">
        <f t="shared" si="32"/>
        <v>571.42857142857144</v>
      </c>
      <c r="CL17" s="596">
        <f t="shared" si="32"/>
        <v>0</v>
      </c>
      <c r="CM17" s="596">
        <f t="shared" si="32"/>
        <v>0</v>
      </c>
      <c r="CN17" s="596">
        <f t="shared" si="32"/>
        <v>0</v>
      </c>
      <c r="CO17" s="596">
        <f t="shared" si="32"/>
        <v>0</v>
      </c>
      <c r="CP17" s="596">
        <f t="shared" si="32"/>
        <v>0</v>
      </c>
      <c r="CQ17" s="596">
        <f t="shared" si="32"/>
        <v>0</v>
      </c>
      <c r="CR17" s="596">
        <f t="shared" si="33"/>
        <v>64.86486486486487</v>
      </c>
      <c r="CS17" s="596">
        <f t="shared" si="34"/>
        <v>0</v>
      </c>
      <c r="CT17" s="596">
        <f t="shared" si="35"/>
        <v>0</v>
      </c>
      <c r="CU17" s="596">
        <f t="shared" si="36"/>
        <v>0</v>
      </c>
      <c r="CV17" s="596">
        <f t="shared" si="37"/>
        <v>0</v>
      </c>
      <c r="CW17" s="596">
        <f t="shared" si="38"/>
        <v>0</v>
      </c>
      <c r="CX17" s="596">
        <f t="shared" si="39"/>
        <v>108.10810810810811</v>
      </c>
      <c r="CY17" s="596">
        <f t="shared" si="40"/>
        <v>0</v>
      </c>
      <c r="CZ17" s="596">
        <f t="shared" si="41"/>
        <v>0</v>
      </c>
      <c r="DA17" s="596">
        <f t="shared" si="42"/>
        <v>0</v>
      </c>
      <c r="DB17" s="596">
        <f t="shared" si="42"/>
        <v>0</v>
      </c>
      <c r="DC17" s="596">
        <f t="shared" si="43"/>
        <v>0</v>
      </c>
      <c r="DD17" s="596">
        <f t="shared" si="44"/>
        <v>0</v>
      </c>
      <c r="DE17" s="602">
        <f t="shared" si="45"/>
        <v>43.243243243243242</v>
      </c>
      <c r="DF17" s="596">
        <f t="shared" si="46"/>
        <v>0</v>
      </c>
      <c r="DG17" s="596">
        <f t="shared" si="46"/>
        <v>43.243243243243242</v>
      </c>
      <c r="DH17" s="596">
        <f t="shared" si="46"/>
        <v>45.714285714285708</v>
      </c>
      <c r="DI17" s="596">
        <f t="shared" si="46"/>
        <v>114.28571428571429</v>
      </c>
      <c r="DJ17" s="596">
        <f t="shared" si="46"/>
        <v>0</v>
      </c>
      <c r="DK17" s="596">
        <f t="shared" si="46"/>
        <v>0</v>
      </c>
      <c r="DL17" s="596">
        <f t="shared" si="46"/>
        <v>0</v>
      </c>
      <c r="DM17" s="596">
        <f t="shared" si="46"/>
        <v>0</v>
      </c>
      <c r="DN17" s="596">
        <f t="shared" si="46"/>
        <v>0</v>
      </c>
      <c r="DO17" s="596">
        <f t="shared" si="46"/>
        <v>0</v>
      </c>
      <c r="DP17" s="596">
        <f t="shared" si="47"/>
        <v>12.972972972972974</v>
      </c>
      <c r="DQ17" s="596">
        <f t="shared" si="48"/>
        <v>0</v>
      </c>
      <c r="DR17" s="596">
        <f t="shared" si="49"/>
        <v>0</v>
      </c>
      <c r="DS17" s="596">
        <f t="shared" si="50"/>
        <v>0</v>
      </c>
      <c r="DT17" s="596">
        <f t="shared" si="51"/>
        <v>0</v>
      </c>
      <c r="DU17" s="596">
        <f t="shared" si="52"/>
        <v>0</v>
      </c>
      <c r="DV17" s="596">
        <f t="shared" si="53"/>
        <v>21.621621621621621</v>
      </c>
      <c r="DW17" s="596">
        <f t="shared" si="54"/>
        <v>0</v>
      </c>
      <c r="DX17" s="596">
        <f t="shared" si="55"/>
        <v>0</v>
      </c>
      <c r="DY17" s="596">
        <f t="shared" si="56"/>
        <v>0</v>
      </c>
      <c r="DZ17" s="596">
        <f t="shared" si="56"/>
        <v>0</v>
      </c>
      <c r="EA17" s="596">
        <f t="shared" si="57"/>
        <v>0</v>
      </c>
      <c r="EB17" s="603">
        <f t="shared" si="58"/>
        <v>0</v>
      </c>
    </row>
    <row r="18" spans="1:132" s="594" customFormat="1" ht="13.8" thickBot="1" x14ac:dyDescent="0.3">
      <c r="B18" s="594" t="str">
        <f>'Gårdens info'!C74</f>
        <v>Lökförråd/ Tork</v>
      </c>
      <c r="E18" s="596">
        <v>2020</v>
      </c>
      <c r="H18" s="597">
        <v>25</v>
      </c>
      <c r="I18" s="596">
        <f>'Gårdens info'!D74</f>
        <v>100000</v>
      </c>
      <c r="J18" s="597">
        <v>0</v>
      </c>
      <c r="K18" s="598">
        <v>0.01</v>
      </c>
      <c r="L18" s="600">
        <v>0</v>
      </c>
      <c r="M18" s="600">
        <v>0</v>
      </c>
      <c r="N18" s="600">
        <v>0</v>
      </c>
      <c r="O18" s="600">
        <f>'Gårdens info'!$D$14/('Gårdens info'!$D$14+'Gårdens info'!$D$15)</f>
        <v>0.2857142857142857</v>
      </c>
      <c r="P18" s="600">
        <f>'Gårdens info'!$D$15/('Gårdens info'!$D$14+'Gårdens info'!$D$15)</f>
        <v>0.7142857142857143</v>
      </c>
      <c r="Q18" s="600">
        <v>0</v>
      </c>
      <c r="R18" s="600">
        <v>0</v>
      </c>
      <c r="S18" s="600">
        <v>0</v>
      </c>
      <c r="T18" s="600">
        <v>0</v>
      </c>
      <c r="U18" s="600">
        <v>0</v>
      </c>
      <c r="V18" s="600">
        <v>0</v>
      </c>
      <c r="W18" s="600">
        <v>0</v>
      </c>
      <c r="X18" s="600">
        <v>0</v>
      </c>
      <c r="Y18" s="600">
        <v>0</v>
      </c>
      <c r="Z18" s="600">
        <v>0</v>
      </c>
      <c r="AA18" s="600">
        <v>0</v>
      </c>
      <c r="AB18" s="600">
        <v>0</v>
      </c>
      <c r="AC18" s="600">
        <v>0</v>
      </c>
      <c r="AD18" s="600">
        <v>0</v>
      </c>
      <c r="AE18" s="600">
        <v>0</v>
      </c>
      <c r="AF18" s="600">
        <v>0</v>
      </c>
      <c r="AG18" s="600">
        <v>0</v>
      </c>
      <c r="AH18" s="600">
        <v>0</v>
      </c>
      <c r="AI18" s="600">
        <v>0</v>
      </c>
      <c r="AJ18" s="604">
        <f t="shared" si="4"/>
        <v>1</v>
      </c>
      <c r="AK18" s="602">
        <f t="shared" ref="AK18" si="59">IF((($C$7-$E18)&lt;=$H18),(($I18-$J18)/$H18*L18),0)</f>
        <v>0</v>
      </c>
      <c r="AL18" s="596">
        <f t="shared" si="6"/>
        <v>0</v>
      </c>
      <c r="AM18" s="596">
        <f t="shared" si="6"/>
        <v>0</v>
      </c>
      <c r="AN18" s="596">
        <f t="shared" si="6"/>
        <v>1142.8571428571429</v>
      </c>
      <c r="AO18" s="596">
        <f t="shared" si="6"/>
        <v>2857.1428571428573</v>
      </c>
      <c r="AP18" s="596">
        <f t="shared" si="6"/>
        <v>0</v>
      </c>
      <c r="AQ18" s="596">
        <f t="shared" si="6"/>
        <v>0</v>
      </c>
      <c r="AR18" s="596">
        <f t="shared" si="6"/>
        <v>0</v>
      </c>
      <c r="AS18" s="596">
        <f t="shared" si="6"/>
        <v>0</v>
      </c>
      <c r="AT18" s="596">
        <f t="shared" si="6"/>
        <v>0</v>
      </c>
      <c r="AU18" s="596">
        <f t="shared" si="6"/>
        <v>0</v>
      </c>
      <c r="AV18" s="596">
        <f t="shared" ref="AV18" si="60">IF((($C$7-$E18)&lt;=$H18),(($I18-$J18)/$H18*W18),0)</f>
        <v>0</v>
      </c>
      <c r="AW18" s="596">
        <f t="shared" ref="AW18" si="61">IF((($C$7-$E18)&lt;=$H18),(($I18-$J18)/$H18*X18),0)</f>
        <v>0</v>
      </c>
      <c r="AX18" s="596">
        <f t="shared" ref="AX18" si="62">IF((($C$7-$E18)&lt;=$H18),(($I18-$J18)/$H18*Y18),0)</f>
        <v>0</v>
      </c>
      <c r="AY18" s="596">
        <f t="shared" ref="AY18" si="63">IF((($C$7-$E18)&lt;=$H18),(($I18-$J18)/$H18*Z18),0)</f>
        <v>0</v>
      </c>
      <c r="AZ18" s="596">
        <f t="shared" ref="AZ18" si="64">IF((($C$7-$E18)&lt;=$H18),(($I18-$J18)/$H18*AA18),0)</f>
        <v>0</v>
      </c>
      <c r="BA18" s="596">
        <f t="shared" ref="BA18" si="65">IF((($C$7-$E18)&lt;=$H18),(($I18-$J18)/$H18*AB18),0)</f>
        <v>0</v>
      </c>
      <c r="BB18" s="596">
        <f t="shared" ref="BB18" si="66">IF((($C$7-$E18)&lt;=$H18),(($I18-$J18)/$H18*AC18),0)</f>
        <v>0</v>
      </c>
      <c r="BC18" s="596">
        <f t="shared" ref="BC18" si="67">IF((($C$7-$E18)&lt;=$H18),(($I18-$J18)/$H18*AD18),0)</f>
        <v>0</v>
      </c>
      <c r="BD18" s="596">
        <f t="shared" ref="BD18" si="68">IF((($C$7-$E18)&lt;=$H18),(($I18-$J18)/$H18*AE18),0)</f>
        <v>0</v>
      </c>
      <c r="BE18" s="596">
        <f t="shared" si="16"/>
        <v>0</v>
      </c>
      <c r="BF18" s="596">
        <f t="shared" si="16"/>
        <v>0</v>
      </c>
      <c r="BG18" s="596">
        <f t="shared" ref="BG18" si="69">IF((($C$7-$E18)&lt;=$H18),(($I18-$J18)/$H18*AH18),0)</f>
        <v>0</v>
      </c>
      <c r="BH18" s="596">
        <f t="shared" ref="BH18" si="70">IF((($C$7-$E18)&lt;=$H18),(($I18-$J18)/$H18*AI18),0)</f>
        <v>0</v>
      </c>
      <c r="BI18" s="602">
        <f t="shared" si="19"/>
        <v>0</v>
      </c>
      <c r="BJ18" s="596">
        <f t="shared" si="19"/>
        <v>0</v>
      </c>
      <c r="BK18" s="596">
        <f t="shared" si="19"/>
        <v>0</v>
      </c>
      <c r="BL18" s="596">
        <f t="shared" si="19"/>
        <v>714.28571428571422</v>
      </c>
      <c r="BM18" s="596">
        <f t="shared" si="19"/>
        <v>1785.7142857142858</v>
      </c>
      <c r="BN18" s="596">
        <f t="shared" si="19"/>
        <v>0</v>
      </c>
      <c r="BO18" s="596">
        <f t="shared" si="19"/>
        <v>0</v>
      </c>
      <c r="BP18" s="596">
        <f t="shared" si="19"/>
        <v>0</v>
      </c>
      <c r="BQ18" s="596">
        <f t="shared" si="19"/>
        <v>0</v>
      </c>
      <c r="BR18" s="596">
        <f t="shared" si="19"/>
        <v>0</v>
      </c>
      <c r="BS18" s="596">
        <f t="shared" si="19"/>
        <v>0</v>
      </c>
      <c r="BT18" s="596">
        <f t="shared" ref="BT18" si="71">IF(($C$7-$E18&lt;=$H18),(($I18+$J18)/2*$C$8*W18),0)</f>
        <v>0</v>
      </c>
      <c r="BU18" s="596">
        <f t="shared" ref="BU18" si="72">IF(($C$7-$E18&lt;=$H18),(($I18+$J18)/2*$C$8*X18),0)</f>
        <v>0</v>
      </c>
      <c r="BV18" s="596">
        <f t="shared" ref="BV18" si="73">IF(($C$7-$E18&lt;=$H18),(($I18+$J18)/2*$C$8*Y18),0)</f>
        <v>0</v>
      </c>
      <c r="BW18" s="596">
        <f t="shared" ref="BW18" si="74">IF(($C$7-$E18&lt;=$H18),(($I18+$J18)/2*$C$8*Z18),0)</f>
        <v>0</v>
      </c>
      <c r="BX18" s="596">
        <f t="shared" ref="BX18" si="75">IF(($C$7-$E18&lt;=$H18),(($I18+$J18)/2*$C$8*AA18),0)</f>
        <v>0</v>
      </c>
      <c r="BY18" s="596">
        <f t="shared" ref="BY18" si="76">IF(($C$7-$E18&lt;=$H18),(($I18+$J18)/2*$C$8*AB18),0)</f>
        <v>0</v>
      </c>
      <c r="BZ18" s="596">
        <f t="shared" ref="BZ18" si="77">IF(($C$7-$E18&lt;=$H18),(($I18+$J18)/2*$C$8*AC18),0)</f>
        <v>0</v>
      </c>
      <c r="CA18" s="596">
        <f t="shared" ref="CA18" si="78">IF(($C$7-$E18&lt;=$H18),(($I18+$J18)/2*$C$8*AD18),0)</f>
        <v>0</v>
      </c>
      <c r="CB18" s="596">
        <f t="shared" ref="CB18" si="79">IF(($C$7-$E18&lt;=$H18),(($I18+$J18)/2*$C$8*AE18),0)</f>
        <v>0</v>
      </c>
      <c r="CC18" s="596">
        <f t="shared" si="29"/>
        <v>0</v>
      </c>
      <c r="CD18" s="596">
        <f t="shared" si="29"/>
        <v>0</v>
      </c>
      <c r="CE18" s="596">
        <f t="shared" ref="CE18" si="80">IF(($C$7-$E18&lt;=$H18),(($I18+$J18)/2*$C$8*AH18),0)</f>
        <v>0</v>
      </c>
      <c r="CF18" s="596">
        <f t="shared" ref="CF18" si="81">IF(($C$7-$E18&lt;=$H18),(($I18+$J18)/2*$C$8*AI18),0)</f>
        <v>0</v>
      </c>
      <c r="CG18" s="602">
        <f t="shared" si="32"/>
        <v>0</v>
      </c>
      <c r="CH18" s="596">
        <f t="shared" si="32"/>
        <v>0</v>
      </c>
      <c r="CI18" s="596">
        <f t="shared" si="32"/>
        <v>0</v>
      </c>
      <c r="CJ18" s="596">
        <f t="shared" si="32"/>
        <v>285.71428571428572</v>
      </c>
      <c r="CK18" s="596">
        <f t="shared" si="32"/>
        <v>714.28571428571433</v>
      </c>
      <c r="CL18" s="596">
        <f t="shared" si="32"/>
        <v>0</v>
      </c>
      <c r="CM18" s="596">
        <f t="shared" si="32"/>
        <v>0</v>
      </c>
      <c r="CN18" s="596">
        <f t="shared" si="32"/>
        <v>0</v>
      </c>
      <c r="CO18" s="596">
        <f t="shared" si="32"/>
        <v>0</v>
      </c>
      <c r="CP18" s="596">
        <f t="shared" si="32"/>
        <v>0</v>
      </c>
      <c r="CQ18" s="596">
        <f t="shared" si="32"/>
        <v>0</v>
      </c>
      <c r="CR18" s="596">
        <f t="shared" ref="CR18" si="82">$I18*$K18*W18</f>
        <v>0</v>
      </c>
      <c r="CS18" s="596">
        <f t="shared" ref="CS18" si="83">$I18*$K18*X18</f>
        <v>0</v>
      </c>
      <c r="CT18" s="596">
        <f t="shared" ref="CT18" si="84">$I18*$K18*Y18</f>
        <v>0</v>
      </c>
      <c r="CU18" s="596">
        <f t="shared" ref="CU18" si="85">$I18*$K18*Z18</f>
        <v>0</v>
      </c>
      <c r="CV18" s="596">
        <f t="shared" ref="CV18" si="86">$I18*$K18*AA18</f>
        <v>0</v>
      </c>
      <c r="CW18" s="596">
        <f t="shared" ref="CW18" si="87">$I18*$K18*AB18</f>
        <v>0</v>
      </c>
      <c r="CX18" s="596">
        <f t="shared" ref="CX18" si="88">$I18*$K18*AC18</f>
        <v>0</v>
      </c>
      <c r="CY18" s="596">
        <f t="shared" ref="CY18" si="89">$I18*$K18*AD18</f>
        <v>0</v>
      </c>
      <c r="CZ18" s="596">
        <f t="shared" ref="CZ18" si="90">$I18*$K18*AE18</f>
        <v>0</v>
      </c>
      <c r="DA18" s="596">
        <f t="shared" si="42"/>
        <v>0</v>
      </c>
      <c r="DB18" s="596">
        <f t="shared" si="42"/>
        <v>0</v>
      </c>
      <c r="DC18" s="596">
        <f t="shared" ref="DC18" si="91">$I18*$K18*AH18</f>
        <v>0</v>
      </c>
      <c r="DD18" s="596">
        <f t="shared" ref="DD18" si="92">$I18*$K18*AI18</f>
        <v>0</v>
      </c>
      <c r="DE18" s="602">
        <f t="shared" ref="DE18" si="93">$I18*$C$9*L18</f>
        <v>0</v>
      </c>
      <c r="DF18" s="596">
        <f t="shared" si="46"/>
        <v>0</v>
      </c>
      <c r="DG18" s="596">
        <f t="shared" si="46"/>
        <v>0</v>
      </c>
      <c r="DH18" s="596">
        <f t="shared" si="46"/>
        <v>57.142857142857139</v>
      </c>
      <c r="DI18" s="596">
        <f t="shared" si="46"/>
        <v>142.85714285714286</v>
      </c>
      <c r="DJ18" s="596">
        <f t="shared" si="46"/>
        <v>0</v>
      </c>
      <c r="DK18" s="596">
        <f t="shared" si="46"/>
        <v>0</v>
      </c>
      <c r="DL18" s="596">
        <f t="shared" si="46"/>
        <v>0</v>
      </c>
      <c r="DM18" s="596">
        <f t="shared" si="46"/>
        <v>0</v>
      </c>
      <c r="DN18" s="596">
        <f t="shared" si="46"/>
        <v>0</v>
      </c>
      <c r="DO18" s="596">
        <f t="shared" si="46"/>
        <v>0</v>
      </c>
      <c r="DP18" s="596">
        <f t="shared" ref="DP18" si="94">$I18*$C$9*W18</f>
        <v>0</v>
      </c>
      <c r="DQ18" s="596">
        <f t="shared" ref="DQ18" si="95">$I18*$C$9*X18</f>
        <v>0</v>
      </c>
      <c r="DR18" s="596">
        <f t="shared" ref="DR18" si="96">$I18*$C$9*Y18</f>
        <v>0</v>
      </c>
      <c r="DS18" s="596">
        <f t="shared" ref="DS18" si="97">$I18*$C$9*Z18</f>
        <v>0</v>
      </c>
      <c r="DT18" s="596">
        <f t="shared" ref="DT18" si="98">$I18*$C$9*AA18</f>
        <v>0</v>
      </c>
      <c r="DU18" s="596">
        <f t="shared" ref="DU18" si="99">$I18*$C$9*AB18</f>
        <v>0</v>
      </c>
      <c r="DV18" s="596">
        <f t="shared" ref="DV18" si="100">$I18*$C$9*AC18</f>
        <v>0</v>
      </c>
      <c r="DW18" s="596">
        <f t="shared" ref="DW18" si="101">$I18*$C$9*AD18</f>
        <v>0</v>
      </c>
      <c r="DX18" s="596">
        <f t="shared" ref="DX18" si="102">$I18*$C$9*AE18</f>
        <v>0</v>
      </c>
      <c r="DY18" s="596">
        <f t="shared" si="56"/>
        <v>0</v>
      </c>
      <c r="DZ18" s="596">
        <f t="shared" si="56"/>
        <v>0</v>
      </c>
      <c r="EA18" s="596">
        <f t="shared" ref="EA18" si="103">$I18*$C$9*AH18</f>
        <v>0</v>
      </c>
      <c r="EB18" s="603">
        <f t="shared" ref="EB18" si="104">$I18*$C$9*AI18</f>
        <v>0</v>
      </c>
    </row>
    <row r="19" spans="1:132" s="669" customFormat="1" ht="13.8" thickBot="1" x14ac:dyDescent="0.3">
      <c r="B19" s="669" t="str">
        <f>'Gårdens info'!C75</f>
        <v>Potatislager</v>
      </c>
      <c r="E19" s="670">
        <f>'Gårdens info'!J75</f>
        <v>2018</v>
      </c>
      <c r="H19" s="671">
        <v>25</v>
      </c>
      <c r="I19" s="670">
        <f>'Gårdens info'!D75</f>
        <v>35000</v>
      </c>
      <c r="J19" s="671">
        <v>0</v>
      </c>
      <c r="K19" s="672">
        <v>0.01</v>
      </c>
      <c r="L19" s="684">
        <v>0</v>
      </c>
      <c r="M19" s="673">
        <f>IF('Gårdens info'!$D$9&gt;0,('Gårdens info'!$D$9/('Gårdens info'!$D$9)),0)</f>
        <v>1</v>
      </c>
      <c r="N19" s="684">
        <v>0</v>
      </c>
      <c r="O19" s="684">
        <v>0</v>
      </c>
      <c r="P19" s="684">
        <v>0</v>
      </c>
      <c r="Q19" s="684">
        <v>0</v>
      </c>
      <c r="R19" s="684">
        <v>0</v>
      </c>
      <c r="S19" s="684">
        <v>0</v>
      </c>
      <c r="T19" s="684">
        <v>0</v>
      </c>
      <c r="U19" s="684">
        <v>0</v>
      </c>
      <c r="V19" s="684">
        <v>0</v>
      </c>
      <c r="W19" s="684">
        <v>0</v>
      </c>
      <c r="X19" s="684">
        <v>0</v>
      </c>
      <c r="Y19" s="684">
        <v>0</v>
      </c>
      <c r="Z19" s="684">
        <v>0</v>
      </c>
      <c r="AA19" s="684">
        <v>0</v>
      </c>
      <c r="AB19" s="684">
        <v>0</v>
      </c>
      <c r="AC19" s="684">
        <v>0</v>
      </c>
      <c r="AD19" s="684">
        <v>0</v>
      </c>
      <c r="AE19" s="684">
        <v>0</v>
      </c>
      <c r="AF19" s="684">
        <v>0</v>
      </c>
      <c r="AG19" s="684">
        <v>0</v>
      </c>
      <c r="AH19" s="684">
        <v>0</v>
      </c>
      <c r="AI19" s="684">
        <v>0</v>
      </c>
      <c r="AJ19" s="604">
        <f t="shared" si="4"/>
        <v>1</v>
      </c>
      <c r="AK19" s="675">
        <f t="shared" si="5"/>
        <v>0</v>
      </c>
      <c r="AL19" s="670">
        <f t="shared" si="6"/>
        <v>1400</v>
      </c>
      <c r="AM19" s="670">
        <f t="shared" si="6"/>
        <v>0</v>
      </c>
      <c r="AN19" s="670">
        <f t="shared" si="6"/>
        <v>0</v>
      </c>
      <c r="AO19" s="670">
        <f t="shared" si="6"/>
        <v>0</v>
      </c>
      <c r="AP19" s="670">
        <f t="shared" si="6"/>
        <v>0</v>
      </c>
      <c r="AQ19" s="670">
        <f t="shared" si="6"/>
        <v>0</v>
      </c>
      <c r="AR19" s="670">
        <f t="shared" si="6"/>
        <v>0</v>
      </c>
      <c r="AS19" s="670">
        <f t="shared" si="6"/>
        <v>0</v>
      </c>
      <c r="AT19" s="670">
        <f t="shared" si="6"/>
        <v>0</v>
      </c>
      <c r="AU19" s="670">
        <f t="shared" si="6"/>
        <v>0</v>
      </c>
      <c r="AV19" s="670">
        <f t="shared" si="7"/>
        <v>0</v>
      </c>
      <c r="AW19" s="670">
        <f t="shared" si="8"/>
        <v>0</v>
      </c>
      <c r="AX19" s="670">
        <f t="shared" si="9"/>
        <v>0</v>
      </c>
      <c r="AY19" s="670">
        <f t="shared" si="10"/>
        <v>0</v>
      </c>
      <c r="AZ19" s="670">
        <f t="shared" si="11"/>
        <v>0</v>
      </c>
      <c r="BA19" s="670">
        <f t="shared" si="12"/>
        <v>0</v>
      </c>
      <c r="BB19" s="670">
        <f t="shared" si="13"/>
        <v>0</v>
      </c>
      <c r="BC19" s="670">
        <f t="shared" si="14"/>
        <v>0</v>
      </c>
      <c r="BD19" s="670">
        <f t="shared" si="15"/>
        <v>0</v>
      </c>
      <c r="BE19" s="670">
        <f t="shared" si="16"/>
        <v>0</v>
      </c>
      <c r="BF19" s="670">
        <f t="shared" si="16"/>
        <v>0</v>
      </c>
      <c r="BG19" s="670">
        <f t="shared" si="17"/>
        <v>0</v>
      </c>
      <c r="BH19" s="670">
        <f t="shared" si="18"/>
        <v>0</v>
      </c>
      <c r="BI19" s="675">
        <f t="shared" si="19"/>
        <v>0</v>
      </c>
      <c r="BJ19" s="670">
        <f t="shared" si="19"/>
        <v>875</v>
      </c>
      <c r="BK19" s="670">
        <f t="shared" si="19"/>
        <v>0</v>
      </c>
      <c r="BL19" s="670">
        <f t="shared" si="19"/>
        <v>0</v>
      </c>
      <c r="BM19" s="670">
        <f t="shared" si="19"/>
        <v>0</v>
      </c>
      <c r="BN19" s="670">
        <f t="shared" si="19"/>
        <v>0</v>
      </c>
      <c r="BO19" s="670">
        <f t="shared" si="19"/>
        <v>0</v>
      </c>
      <c r="BP19" s="670">
        <f t="shared" si="19"/>
        <v>0</v>
      </c>
      <c r="BQ19" s="670">
        <f t="shared" si="19"/>
        <v>0</v>
      </c>
      <c r="BR19" s="670">
        <f t="shared" si="19"/>
        <v>0</v>
      </c>
      <c r="BS19" s="670">
        <f t="shared" si="19"/>
        <v>0</v>
      </c>
      <c r="BT19" s="670">
        <f t="shared" si="20"/>
        <v>0</v>
      </c>
      <c r="BU19" s="670">
        <f t="shared" si="21"/>
        <v>0</v>
      </c>
      <c r="BV19" s="670">
        <f t="shared" si="22"/>
        <v>0</v>
      </c>
      <c r="BW19" s="670">
        <f t="shared" si="23"/>
        <v>0</v>
      </c>
      <c r="BX19" s="670">
        <f t="shared" si="24"/>
        <v>0</v>
      </c>
      <c r="BY19" s="670">
        <f t="shared" si="25"/>
        <v>0</v>
      </c>
      <c r="BZ19" s="670">
        <f t="shared" si="26"/>
        <v>0</v>
      </c>
      <c r="CA19" s="670">
        <f t="shared" si="27"/>
        <v>0</v>
      </c>
      <c r="CB19" s="670">
        <f t="shared" si="28"/>
        <v>0</v>
      </c>
      <c r="CC19" s="670">
        <f t="shared" si="29"/>
        <v>0</v>
      </c>
      <c r="CD19" s="670">
        <f t="shared" si="29"/>
        <v>0</v>
      </c>
      <c r="CE19" s="670">
        <f t="shared" si="30"/>
        <v>0</v>
      </c>
      <c r="CF19" s="670">
        <f t="shared" si="31"/>
        <v>0</v>
      </c>
      <c r="CG19" s="675">
        <f t="shared" si="32"/>
        <v>0</v>
      </c>
      <c r="CH19" s="670">
        <f t="shared" si="32"/>
        <v>350</v>
      </c>
      <c r="CI19" s="670">
        <f t="shared" si="32"/>
        <v>0</v>
      </c>
      <c r="CJ19" s="670">
        <f t="shared" si="32"/>
        <v>0</v>
      </c>
      <c r="CK19" s="670">
        <f t="shared" si="32"/>
        <v>0</v>
      </c>
      <c r="CL19" s="670">
        <f t="shared" si="32"/>
        <v>0</v>
      </c>
      <c r="CM19" s="670">
        <f t="shared" si="32"/>
        <v>0</v>
      </c>
      <c r="CN19" s="670">
        <f t="shared" si="32"/>
        <v>0</v>
      </c>
      <c r="CO19" s="670">
        <f t="shared" si="32"/>
        <v>0</v>
      </c>
      <c r="CP19" s="670">
        <f t="shared" si="32"/>
        <v>0</v>
      </c>
      <c r="CQ19" s="670">
        <f t="shared" si="32"/>
        <v>0</v>
      </c>
      <c r="CR19" s="670">
        <f t="shared" si="33"/>
        <v>0</v>
      </c>
      <c r="CS19" s="670">
        <f t="shared" si="34"/>
        <v>0</v>
      </c>
      <c r="CT19" s="670">
        <f t="shared" si="35"/>
        <v>0</v>
      </c>
      <c r="CU19" s="670">
        <f t="shared" si="36"/>
        <v>0</v>
      </c>
      <c r="CV19" s="670">
        <f t="shared" si="37"/>
        <v>0</v>
      </c>
      <c r="CW19" s="670">
        <f t="shared" si="38"/>
        <v>0</v>
      </c>
      <c r="CX19" s="670">
        <f t="shared" si="39"/>
        <v>0</v>
      </c>
      <c r="CY19" s="670">
        <f t="shared" si="40"/>
        <v>0</v>
      </c>
      <c r="CZ19" s="670">
        <f t="shared" si="41"/>
        <v>0</v>
      </c>
      <c r="DA19" s="670">
        <f t="shared" si="42"/>
        <v>0</v>
      </c>
      <c r="DB19" s="670">
        <f t="shared" si="42"/>
        <v>0</v>
      </c>
      <c r="DC19" s="670">
        <f t="shared" si="43"/>
        <v>0</v>
      </c>
      <c r="DD19" s="670">
        <f t="shared" si="44"/>
        <v>0</v>
      </c>
      <c r="DE19" s="675">
        <f t="shared" si="45"/>
        <v>0</v>
      </c>
      <c r="DF19" s="670">
        <f t="shared" si="46"/>
        <v>70</v>
      </c>
      <c r="DG19" s="670">
        <f t="shared" si="46"/>
        <v>0</v>
      </c>
      <c r="DH19" s="670">
        <f t="shared" si="46"/>
        <v>0</v>
      </c>
      <c r="DI19" s="670">
        <f t="shared" si="46"/>
        <v>0</v>
      </c>
      <c r="DJ19" s="670">
        <f t="shared" si="46"/>
        <v>0</v>
      </c>
      <c r="DK19" s="670">
        <f t="shared" si="46"/>
        <v>0</v>
      </c>
      <c r="DL19" s="670">
        <f t="shared" si="46"/>
        <v>0</v>
      </c>
      <c r="DM19" s="670">
        <f t="shared" si="46"/>
        <v>0</v>
      </c>
      <c r="DN19" s="670">
        <f t="shared" si="46"/>
        <v>0</v>
      </c>
      <c r="DO19" s="670">
        <f t="shared" si="46"/>
        <v>0</v>
      </c>
      <c r="DP19" s="670">
        <f t="shared" si="47"/>
        <v>0</v>
      </c>
      <c r="DQ19" s="670">
        <f t="shared" si="48"/>
        <v>0</v>
      </c>
      <c r="DR19" s="670">
        <f t="shared" si="49"/>
        <v>0</v>
      </c>
      <c r="DS19" s="670">
        <f t="shared" si="50"/>
        <v>0</v>
      </c>
      <c r="DT19" s="670">
        <f t="shared" si="51"/>
        <v>0</v>
      </c>
      <c r="DU19" s="670">
        <f t="shared" si="52"/>
        <v>0</v>
      </c>
      <c r="DV19" s="670">
        <f t="shared" si="53"/>
        <v>0</v>
      </c>
      <c r="DW19" s="670">
        <f t="shared" si="54"/>
        <v>0</v>
      </c>
      <c r="DX19" s="670">
        <f t="shared" si="55"/>
        <v>0</v>
      </c>
      <c r="DY19" s="670">
        <f t="shared" si="56"/>
        <v>0</v>
      </c>
      <c r="DZ19" s="670">
        <f t="shared" si="56"/>
        <v>0</v>
      </c>
      <c r="EA19" s="670">
        <f t="shared" si="57"/>
        <v>0</v>
      </c>
      <c r="EB19" s="680">
        <f t="shared" si="58"/>
        <v>0</v>
      </c>
    </row>
    <row r="20" spans="1:132" s="669" customFormat="1" ht="13.8" thickBot="1" x14ac:dyDescent="0.3">
      <c r="B20" s="669" t="str">
        <f>'Gårdens info'!C76</f>
        <v>Iordningsställningsutrymme, potatis</v>
      </c>
      <c r="E20" s="670">
        <f>'Gårdens info'!J76</f>
        <v>2018</v>
      </c>
      <c r="H20" s="671">
        <v>25</v>
      </c>
      <c r="I20" s="670">
        <f>'Gårdens info'!D76</f>
        <v>66000</v>
      </c>
      <c r="J20" s="671">
        <v>0</v>
      </c>
      <c r="K20" s="672">
        <v>0.01</v>
      </c>
      <c r="L20" s="684">
        <v>0</v>
      </c>
      <c r="M20" s="673">
        <f>IF('Gårdens info'!$D$9&gt;0,('Gårdens info'!$D$9/('Gårdens info'!$D$9)),0)</f>
        <v>1</v>
      </c>
      <c r="N20" s="684">
        <v>0</v>
      </c>
      <c r="O20" s="684">
        <v>0</v>
      </c>
      <c r="P20" s="684">
        <v>0</v>
      </c>
      <c r="Q20" s="684">
        <v>0</v>
      </c>
      <c r="R20" s="684">
        <v>0</v>
      </c>
      <c r="S20" s="684">
        <v>0</v>
      </c>
      <c r="T20" s="684">
        <v>0</v>
      </c>
      <c r="U20" s="684">
        <v>0</v>
      </c>
      <c r="V20" s="684">
        <v>0</v>
      </c>
      <c r="W20" s="684">
        <v>0</v>
      </c>
      <c r="X20" s="684">
        <v>0</v>
      </c>
      <c r="Y20" s="684">
        <v>0</v>
      </c>
      <c r="Z20" s="684">
        <v>0</v>
      </c>
      <c r="AA20" s="684">
        <v>0</v>
      </c>
      <c r="AB20" s="684">
        <v>0</v>
      </c>
      <c r="AC20" s="684">
        <v>0</v>
      </c>
      <c r="AD20" s="684">
        <v>0</v>
      </c>
      <c r="AE20" s="684">
        <v>0</v>
      </c>
      <c r="AF20" s="684">
        <v>0</v>
      </c>
      <c r="AG20" s="684">
        <v>0</v>
      </c>
      <c r="AH20" s="684">
        <v>0</v>
      </c>
      <c r="AI20" s="684">
        <v>0</v>
      </c>
      <c r="AJ20" s="604">
        <f t="shared" si="4"/>
        <v>1</v>
      </c>
      <c r="AK20" s="675">
        <f t="shared" si="5"/>
        <v>0</v>
      </c>
      <c r="AL20" s="670">
        <f t="shared" si="6"/>
        <v>2640</v>
      </c>
      <c r="AM20" s="670">
        <f t="shared" si="6"/>
        <v>0</v>
      </c>
      <c r="AN20" s="670">
        <f t="shared" si="6"/>
        <v>0</v>
      </c>
      <c r="AO20" s="670">
        <f t="shared" si="6"/>
        <v>0</v>
      </c>
      <c r="AP20" s="670">
        <f t="shared" si="6"/>
        <v>0</v>
      </c>
      <c r="AQ20" s="670">
        <f t="shared" si="6"/>
        <v>0</v>
      </c>
      <c r="AR20" s="670">
        <f t="shared" si="6"/>
        <v>0</v>
      </c>
      <c r="AS20" s="670">
        <f t="shared" si="6"/>
        <v>0</v>
      </c>
      <c r="AT20" s="670">
        <f t="shared" si="6"/>
        <v>0</v>
      </c>
      <c r="AU20" s="670">
        <f t="shared" si="6"/>
        <v>0</v>
      </c>
      <c r="AV20" s="670">
        <f t="shared" si="7"/>
        <v>0</v>
      </c>
      <c r="AW20" s="670">
        <f t="shared" si="8"/>
        <v>0</v>
      </c>
      <c r="AX20" s="670">
        <f t="shared" si="9"/>
        <v>0</v>
      </c>
      <c r="AY20" s="670">
        <f t="shared" si="10"/>
        <v>0</v>
      </c>
      <c r="AZ20" s="670">
        <f t="shared" si="11"/>
        <v>0</v>
      </c>
      <c r="BA20" s="670">
        <f t="shared" si="12"/>
        <v>0</v>
      </c>
      <c r="BB20" s="670">
        <f t="shared" si="13"/>
        <v>0</v>
      </c>
      <c r="BC20" s="670">
        <f t="shared" si="14"/>
        <v>0</v>
      </c>
      <c r="BD20" s="670">
        <f t="shared" si="15"/>
        <v>0</v>
      </c>
      <c r="BE20" s="670">
        <f t="shared" si="16"/>
        <v>0</v>
      </c>
      <c r="BF20" s="670">
        <f t="shared" si="16"/>
        <v>0</v>
      </c>
      <c r="BG20" s="670">
        <f t="shared" si="17"/>
        <v>0</v>
      </c>
      <c r="BH20" s="670">
        <f t="shared" si="18"/>
        <v>0</v>
      </c>
      <c r="BI20" s="675">
        <f t="shared" si="19"/>
        <v>0</v>
      </c>
      <c r="BJ20" s="670">
        <f t="shared" si="19"/>
        <v>1650</v>
      </c>
      <c r="BK20" s="670">
        <f t="shared" si="19"/>
        <v>0</v>
      </c>
      <c r="BL20" s="670">
        <f t="shared" si="19"/>
        <v>0</v>
      </c>
      <c r="BM20" s="670">
        <f t="shared" si="19"/>
        <v>0</v>
      </c>
      <c r="BN20" s="670">
        <f t="shared" si="19"/>
        <v>0</v>
      </c>
      <c r="BO20" s="670">
        <f t="shared" si="19"/>
        <v>0</v>
      </c>
      <c r="BP20" s="670">
        <f t="shared" si="19"/>
        <v>0</v>
      </c>
      <c r="BQ20" s="670">
        <f t="shared" si="19"/>
        <v>0</v>
      </c>
      <c r="BR20" s="670">
        <f t="shared" si="19"/>
        <v>0</v>
      </c>
      <c r="BS20" s="670">
        <f t="shared" si="19"/>
        <v>0</v>
      </c>
      <c r="BT20" s="670">
        <f t="shared" si="20"/>
        <v>0</v>
      </c>
      <c r="BU20" s="670">
        <f t="shared" si="21"/>
        <v>0</v>
      </c>
      <c r="BV20" s="670">
        <f t="shared" si="22"/>
        <v>0</v>
      </c>
      <c r="BW20" s="670">
        <f t="shared" si="23"/>
        <v>0</v>
      </c>
      <c r="BX20" s="670">
        <f t="shared" si="24"/>
        <v>0</v>
      </c>
      <c r="BY20" s="670">
        <f t="shared" si="25"/>
        <v>0</v>
      </c>
      <c r="BZ20" s="670">
        <f t="shared" si="26"/>
        <v>0</v>
      </c>
      <c r="CA20" s="670">
        <f t="shared" si="27"/>
        <v>0</v>
      </c>
      <c r="CB20" s="670">
        <f t="shared" si="28"/>
        <v>0</v>
      </c>
      <c r="CC20" s="670">
        <f t="shared" si="29"/>
        <v>0</v>
      </c>
      <c r="CD20" s="670">
        <f t="shared" si="29"/>
        <v>0</v>
      </c>
      <c r="CE20" s="670">
        <f t="shared" si="30"/>
        <v>0</v>
      </c>
      <c r="CF20" s="670">
        <f t="shared" si="31"/>
        <v>0</v>
      </c>
      <c r="CG20" s="675">
        <f t="shared" si="32"/>
        <v>0</v>
      </c>
      <c r="CH20" s="670">
        <f t="shared" si="32"/>
        <v>660</v>
      </c>
      <c r="CI20" s="670">
        <f t="shared" si="32"/>
        <v>0</v>
      </c>
      <c r="CJ20" s="670">
        <f t="shared" si="32"/>
        <v>0</v>
      </c>
      <c r="CK20" s="670">
        <f t="shared" si="32"/>
        <v>0</v>
      </c>
      <c r="CL20" s="670">
        <f t="shared" si="32"/>
        <v>0</v>
      </c>
      <c r="CM20" s="670">
        <f t="shared" si="32"/>
        <v>0</v>
      </c>
      <c r="CN20" s="670">
        <f t="shared" si="32"/>
        <v>0</v>
      </c>
      <c r="CO20" s="670">
        <f t="shared" si="32"/>
        <v>0</v>
      </c>
      <c r="CP20" s="670">
        <f t="shared" si="32"/>
        <v>0</v>
      </c>
      <c r="CQ20" s="670">
        <f t="shared" si="32"/>
        <v>0</v>
      </c>
      <c r="CR20" s="670">
        <f t="shared" si="33"/>
        <v>0</v>
      </c>
      <c r="CS20" s="670">
        <f t="shared" si="34"/>
        <v>0</v>
      </c>
      <c r="CT20" s="670">
        <f t="shared" si="35"/>
        <v>0</v>
      </c>
      <c r="CU20" s="670">
        <f t="shared" si="36"/>
        <v>0</v>
      </c>
      <c r="CV20" s="670">
        <f t="shared" si="37"/>
        <v>0</v>
      </c>
      <c r="CW20" s="670">
        <f t="shared" si="38"/>
        <v>0</v>
      </c>
      <c r="CX20" s="670">
        <f t="shared" si="39"/>
        <v>0</v>
      </c>
      <c r="CY20" s="670">
        <f t="shared" si="40"/>
        <v>0</v>
      </c>
      <c r="CZ20" s="670">
        <f t="shared" si="41"/>
        <v>0</v>
      </c>
      <c r="DA20" s="670">
        <f t="shared" si="42"/>
        <v>0</v>
      </c>
      <c r="DB20" s="670">
        <f t="shared" si="42"/>
        <v>0</v>
      </c>
      <c r="DC20" s="670">
        <f t="shared" si="43"/>
        <v>0</v>
      </c>
      <c r="DD20" s="670">
        <f t="shared" si="44"/>
        <v>0</v>
      </c>
      <c r="DE20" s="675">
        <f t="shared" si="45"/>
        <v>0</v>
      </c>
      <c r="DF20" s="670">
        <f t="shared" si="46"/>
        <v>132</v>
      </c>
      <c r="DG20" s="670">
        <f t="shared" si="46"/>
        <v>0</v>
      </c>
      <c r="DH20" s="670">
        <f t="shared" si="46"/>
        <v>0</v>
      </c>
      <c r="DI20" s="670">
        <f t="shared" si="46"/>
        <v>0</v>
      </c>
      <c r="DJ20" s="670">
        <f t="shared" si="46"/>
        <v>0</v>
      </c>
      <c r="DK20" s="670">
        <f t="shared" si="46"/>
        <v>0</v>
      </c>
      <c r="DL20" s="670">
        <f t="shared" si="46"/>
        <v>0</v>
      </c>
      <c r="DM20" s="670">
        <f t="shared" si="46"/>
        <v>0</v>
      </c>
      <c r="DN20" s="670">
        <f t="shared" si="46"/>
        <v>0</v>
      </c>
      <c r="DO20" s="670">
        <f t="shared" si="46"/>
        <v>0</v>
      </c>
      <c r="DP20" s="670">
        <f t="shared" si="47"/>
        <v>0</v>
      </c>
      <c r="DQ20" s="670">
        <f t="shared" si="48"/>
        <v>0</v>
      </c>
      <c r="DR20" s="670">
        <f t="shared" si="49"/>
        <v>0</v>
      </c>
      <c r="DS20" s="670">
        <f t="shared" si="50"/>
        <v>0</v>
      </c>
      <c r="DT20" s="670">
        <f t="shared" si="51"/>
        <v>0</v>
      </c>
      <c r="DU20" s="670">
        <f t="shared" si="52"/>
        <v>0</v>
      </c>
      <c r="DV20" s="670">
        <f t="shared" si="53"/>
        <v>0</v>
      </c>
      <c r="DW20" s="670">
        <f t="shared" si="54"/>
        <v>0</v>
      </c>
      <c r="DX20" s="670">
        <f t="shared" si="55"/>
        <v>0</v>
      </c>
      <c r="DY20" s="670">
        <f t="shared" si="56"/>
        <v>0</v>
      </c>
      <c r="DZ20" s="670">
        <f t="shared" si="56"/>
        <v>0</v>
      </c>
      <c r="EA20" s="670">
        <f t="shared" si="57"/>
        <v>0</v>
      </c>
      <c r="EB20" s="680">
        <f t="shared" si="58"/>
        <v>0</v>
      </c>
    </row>
    <row r="21" spans="1:132" s="594" customFormat="1" ht="13.8" thickBot="1" x14ac:dyDescent="0.3">
      <c r="B21" s="594" t="str">
        <f>'Gårdens info'!C77</f>
        <v>trädgårdsproduktionens byggnad X</v>
      </c>
      <c r="E21" s="596">
        <f>'Gårdens info'!J77</f>
        <v>0</v>
      </c>
      <c r="H21" s="597">
        <v>25</v>
      </c>
      <c r="I21" s="596">
        <f>'Gårdens info'!D77</f>
        <v>0</v>
      </c>
      <c r="J21" s="597">
        <v>0</v>
      </c>
      <c r="K21" s="598">
        <v>0.01</v>
      </c>
      <c r="L21"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21" s="600">
        <v>0</v>
      </c>
      <c r="N21"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21"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21"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21"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21"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21"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21"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21"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21"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21"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21"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21"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21"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21"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21"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21"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21" s="600">
        <v>0</v>
      </c>
      <c r="AE21" s="600">
        <v>0</v>
      </c>
      <c r="AF21" s="600">
        <v>0</v>
      </c>
      <c r="AG21" s="600">
        <v>0</v>
      </c>
      <c r="AH21" s="600">
        <v>0</v>
      </c>
      <c r="AI21" s="600">
        <v>0</v>
      </c>
      <c r="AJ21" s="604">
        <f t="shared" si="4"/>
        <v>1</v>
      </c>
      <c r="AK21" s="602">
        <f t="shared" si="5"/>
        <v>0</v>
      </c>
      <c r="AL21" s="596">
        <f t="shared" si="6"/>
        <v>0</v>
      </c>
      <c r="AM21" s="596">
        <f t="shared" si="6"/>
        <v>0</v>
      </c>
      <c r="AN21" s="596">
        <f t="shared" si="6"/>
        <v>0</v>
      </c>
      <c r="AO21" s="596">
        <f t="shared" si="6"/>
        <v>0</v>
      </c>
      <c r="AP21" s="596">
        <f t="shared" si="6"/>
        <v>0</v>
      </c>
      <c r="AQ21" s="596">
        <f t="shared" si="6"/>
        <v>0</v>
      </c>
      <c r="AR21" s="596">
        <f t="shared" si="6"/>
        <v>0</v>
      </c>
      <c r="AS21" s="596">
        <f t="shared" si="6"/>
        <v>0</v>
      </c>
      <c r="AT21" s="596">
        <f t="shared" si="6"/>
        <v>0</v>
      </c>
      <c r="AU21" s="596">
        <f t="shared" si="6"/>
        <v>0</v>
      </c>
      <c r="AV21" s="596">
        <f t="shared" si="7"/>
        <v>0</v>
      </c>
      <c r="AW21" s="596">
        <f t="shared" si="8"/>
        <v>0</v>
      </c>
      <c r="AX21" s="596">
        <f t="shared" si="9"/>
        <v>0</v>
      </c>
      <c r="AY21" s="596">
        <f t="shared" si="10"/>
        <v>0</v>
      </c>
      <c r="AZ21" s="596">
        <f t="shared" si="11"/>
        <v>0</v>
      </c>
      <c r="BA21" s="596">
        <f t="shared" si="12"/>
        <v>0</v>
      </c>
      <c r="BB21" s="596">
        <f t="shared" si="13"/>
        <v>0</v>
      </c>
      <c r="BC21" s="596">
        <f t="shared" si="14"/>
        <v>0</v>
      </c>
      <c r="BD21" s="596">
        <f t="shared" si="15"/>
        <v>0</v>
      </c>
      <c r="BE21" s="596">
        <f t="shared" si="16"/>
        <v>0</v>
      </c>
      <c r="BF21" s="596">
        <f t="shared" si="16"/>
        <v>0</v>
      </c>
      <c r="BG21" s="596">
        <f t="shared" si="17"/>
        <v>0</v>
      </c>
      <c r="BH21" s="596">
        <f t="shared" si="18"/>
        <v>0</v>
      </c>
      <c r="BI21" s="602">
        <f t="shared" si="19"/>
        <v>0</v>
      </c>
      <c r="BJ21" s="596">
        <f t="shared" si="19"/>
        <v>0</v>
      </c>
      <c r="BK21" s="596">
        <f t="shared" si="19"/>
        <v>0</v>
      </c>
      <c r="BL21" s="596">
        <f t="shared" si="19"/>
        <v>0</v>
      </c>
      <c r="BM21" s="596">
        <f t="shared" si="19"/>
        <v>0</v>
      </c>
      <c r="BN21" s="596">
        <f t="shared" si="19"/>
        <v>0</v>
      </c>
      <c r="BO21" s="596">
        <f t="shared" si="19"/>
        <v>0</v>
      </c>
      <c r="BP21" s="596">
        <f t="shared" si="19"/>
        <v>0</v>
      </c>
      <c r="BQ21" s="596">
        <f t="shared" si="19"/>
        <v>0</v>
      </c>
      <c r="BR21" s="596">
        <f t="shared" si="19"/>
        <v>0</v>
      </c>
      <c r="BS21" s="596">
        <f t="shared" si="19"/>
        <v>0</v>
      </c>
      <c r="BT21" s="596">
        <f t="shared" si="20"/>
        <v>0</v>
      </c>
      <c r="BU21" s="596">
        <f t="shared" si="21"/>
        <v>0</v>
      </c>
      <c r="BV21" s="596">
        <f t="shared" si="22"/>
        <v>0</v>
      </c>
      <c r="BW21" s="596">
        <f t="shared" si="23"/>
        <v>0</v>
      </c>
      <c r="BX21" s="596">
        <f t="shared" si="24"/>
        <v>0</v>
      </c>
      <c r="BY21" s="596">
        <f t="shared" si="25"/>
        <v>0</v>
      </c>
      <c r="BZ21" s="596">
        <f t="shared" si="26"/>
        <v>0</v>
      </c>
      <c r="CA21" s="596">
        <f t="shared" si="27"/>
        <v>0</v>
      </c>
      <c r="CB21" s="596">
        <f t="shared" si="28"/>
        <v>0</v>
      </c>
      <c r="CC21" s="596">
        <f t="shared" si="29"/>
        <v>0</v>
      </c>
      <c r="CD21" s="596">
        <f t="shared" si="29"/>
        <v>0</v>
      </c>
      <c r="CE21" s="596">
        <f t="shared" si="30"/>
        <v>0</v>
      </c>
      <c r="CF21" s="596">
        <f t="shared" si="31"/>
        <v>0</v>
      </c>
      <c r="CG21" s="602">
        <f t="shared" si="32"/>
        <v>0</v>
      </c>
      <c r="CH21" s="596">
        <f t="shared" si="32"/>
        <v>0</v>
      </c>
      <c r="CI21" s="596">
        <f t="shared" si="32"/>
        <v>0</v>
      </c>
      <c r="CJ21" s="596">
        <f t="shared" si="32"/>
        <v>0</v>
      </c>
      <c r="CK21" s="596">
        <f t="shared" si="32"/>
        <v>0</v>
      </c>
      <c r="CL21" s="596">
        <f t="shared" si="32"/>
        <v>0</v>
      </c>
      <c r="CM21" s="596">
        <f t="shared" si="32"/>
        <v>0</v>
      </c>
      <c r="CN21" s="596">
        <f t="shared" si="32"/>
        <v>0</v>
      </c>
      <c r="CO21" s="596">
        <f t="shared" si="32"/>
        <v>0</v>
      </c>
      <c r="CP21" s="596">
        <f t="shared" si="32"/>
        <v>0</v>
      </c>
      <c r="CQ21" s="596">
        <f t="shared" si="32"/>
        <v>0</v>
      </c>
      <c r="CR21" s="596">
        <f t="shared" si="33"/>
        <v>0</v>
      </c>
      <c r="CS21" s="596">
        <f t="shared" si="34"/>
        <v>0</v>
      </c>
      <c r="CT21" s="596">
        <f t="shared" si="35"/>
        <v>0</v>
      </c>
      <c r="CU21" s="596">
        <f t="shared" si="36"/>
        <v>0</v>
      </c>
      <c r="CV21" s="596">
        <f t="shared" si="37"/>
        <v>0</v>
      </c>
      <c r="CW21" s="596">
        <f t="shared" si="38"/>
        <v>0</v>
      </c>
      <c r="CX21" s="596">
        <f t="shared" si="39"/>
        <v>0</v>
      </c>
      <c r="CY21" s="596">
        <f t="shared" si="40"/>
        <v>0</v>
      </c>
      <c r="CZ21" s="596">
        <f t="shared" si="41"/>
        <v>0</v>
      </c>
      <c r="DA21" s="596">
        <f t="shared" si="42"/>
        <v>0</v>
      </c>
      <c r="DB21" s="596">
        <f t="shared" si="42"/>
        <v>0</v>
      </c>
      <c r="DC21" s="596">
        <f t="shared" si="43"/>
        <v>0</v>
      </c>
      <c r="DD21" s="596">
        <f t="shared" si="44"/>
        <v>0</v>
      </c>
      <c r="DE21" s="602">
        <f t="shared" si="45"/>
        <v>0</v>
      </c>
      <c r="DF21" s="596">
        <f t="shared" si="46"/>
        <v>0</v>
      </c>
      <c r="DG21" s="596">
        <f t="shared" si="46"/>
        <v>0</v>
      </c>
      <c r="DH21" s="596">
        <f t="shared" si="46"/>
        <v>0</v>
      </c>
      <c r="DI21" s="596">
        <f t="shared" si="46"/>
        <v>0</v>
      </c>
      <c r="DJ21" s="596">
        <f t="shared" si="46"/>
        <v>0</v>
      </c>
      <c r="DK21" s="596">
        <f t="shared" si="46"/>
        <v>0</v>
      </c>
      <c r="DL21" s="596">
        <f t="shared" si="46"/>
        <v>0</v>
      </c>
      <c r="DM21" s="596">
        <f t="shared" si="46"/>
        <v>0</v>
      </c>
      <c r="DN21" s="596">
        <f t="shared" si="46"/>
        <v>0</v>
      </c>
      <c r="DO21" s="596">
        <f t="shared" si="46"/>
        <v>0</v>
      </c>
      <c r="DP21" s="596">
        <f t="shared" si="47"/>
        <v>0</v>
      </c>
      <c r="DQ21" s="596">
        <f t="shared" si="48"/>
        <v>0</v>
      </c>
      <c r="DR21" s="596">
        <f t="shared" si="49"/>
        <v>0</v>
      </c>
      <c r="DS21" s="596">
        <f t="shared" si="50"/>
        <v>0</v>
      </c>
      <c r="DT21" s="596">
        <f t="shared" si="51"/>
        <v>0</v>
      </c>
      <c r="DU21" s="596">
        <f t="shared" si="52"/>
        <v>0</v>
      </c>
      <c r="DV21" s="596">
        <f t="shared" si="53"/>
        <v>0</v>
      </c>
      <c r="DW21" s="596">
        <f t="shared" si="54"/>
        <v>0</v>
      </c>
      <c r="DX21" s="596">
        <f t="shared" si="55"/>
        <v>0</v>
      </c>
      <c r="DY21" s="596">
        <f t="shared" si="56"/>
        <v>0</v>
      </c>
      <c r="DZ21" s="596">
        <f t="shared" si="56"/>
        <v>0</v>
      </c>
      <c r="EA21" s="596">
        <f t="shared" si="57"/>
        <v>0</v>
      </c>
      <c r="EB21" s="603">
        <f t="shared" si="58"/>
        <v>0</v>
      </c>
    </row>
    <row r="22" spans="1:132" s="594" customFormat="1" ht="13.8" thickBot="1" x14ac:dyDescent="0.3">
      <c r="B22" s="594" t="str">
        <f>'Gårdens info'!C78</f>
        <v>trädgårdsproduktionens byggnad X</v>
      </c>
      <c r="E22" s="596">
        <f>'Gårdens info'!J78</f>
        <v>0</v>
      </c>
      <c r="H22" s="597">
        <v>25</v>
      </c>
      <c r="I22" s="596">
        <f>'Gårdens info'!D78</f>
        <v>0</v>
      </c>
      <c r="J22" s="597">
        <v>0</v>
      </c>
      <c r="K22" s="598">
        <v>0.01</v>
      </c>
      <c r="L22"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22" s="600">
        <v>0</v>
      </c>
      <c r="N22"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22"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22"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22"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22"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22"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22"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22"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22"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22"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22"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22"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22"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22"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22"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22"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22" s="600">
        <v>0</v>
      </c>
      <c r="AE22" s="600">
        <v>0</v>
      </c>
      <c r="AF22" s="600">
        <v>0</v>
      </c>
      <c r="AG22" s="600">
        <v>0</v>
      </c>
      <c r="AH22" s="600">
        <v>0</v>
      </c>
      <c r="AI22" s="600">
        <v>0</v>
      </c>
      <c r="AJ22" s="604">
        <f t="shared" si="4"/>
        <v>1</v>
      </c>
      <c r="AK22" s="602">
        <f t="shared" si="5"/>
        <v>0</v>
      </c>
      <c r="AL22" s="596">
        <f t="shared" si="6"/>
        <v>0</v>
      </c>
      <c r="AM22" s="596">
        <f t="shared" si="6"/>
        <v>0</v>
      </c>
      <c r="AN22" s="596">
        <f t="shared" si="6"/>
        <v>0</v>
      </c>
      <c r="AO22" s="596">
        <f t="shared" si="6"/>
        <v>0</v>
      </c>
      <c r="AP22" s="596">
        <f t="shared" si="6"/>
        <v>0</v>
      </c>
      <c r="AQ22" s="596">
        <f t="shared" si="6"/>
        <v>0</v>
      </c>
      <c r="AR22" s="596">
        <f t="shared" si="6"/>
        <v>0</v>
      </c>
      <c r="AS22" s="596">
        <f t="shared" si="6"/>
        <v>0</v>
      </c>
      <c r="AT22" s="596">
        <f t="shared" si="6"/>
        <v>0</v>
      </c>
      <c r="AU22" s="596">
        <f t="shared" si="6"/>
        <v>0</v>
      </c>
      <c r="AV22" s="596">
        <f t="shared" si="7"/>
        <v>0</v>
      </c>
      <c r="AW22" s="596">
        <f t="shared" si="8"/>
        <v>0</v>
      </c>
      <c r="AX22" s="596">
        <f t="shared" si="9"/>
        <v>0</v>
      </c>
      <c r="AY22" s="596">
        <f t="shared" si="10"/>
        <v>0</v>
      </c>
      <c r="AZ22" s="596">
        <f t="shared" si="11"/>
        <v>0</v>
      </c>
      <c r="BA22" s="596">
        <f t="shared" si="12"/>
        <v>0</v>
      </c>
      <c r="BB22" s="596">
        <f t="shared" si="13"/>
        <v>0</v>
      </c>
      <c r="BC22" s="596">
        <f t="shared" si="14"/>
        <v>0</v>
      </c>
      <c r="BD22" s="596">
        <f t="shared" si="15"/>
        <v>0</v>
      </c>
      <c r="BE22" s="596">
        <f t="shared" si="16"/>
        <v>0</v>
      </c>
      <c r="BF22" s="596">
        <f t="shared" si="16"/>
        <v>0</v>
      </c>
      <c r="BG22" s="596">
        <f t="shared" si="17"/>
        <v>0</v>
      </c>
      <c r="BH22" s="596">
        <f t="shared" si="18"/>
        <v>0</v>
      </c>
      <c r="BI22" s="602">
        <f t="shared" ref="BI22:BK24" si="105">IF(($C$7-$E22&lt;=$H22),(($I22+$J22)/2*$C$8*L22),0)</f>
        <v>0</v>
      </c>
      <c r="BJ22" s="596">
        <f t="shared" si="105"/>
        <v>0</v>
      </c>
      <c r="BK22" s="596">
        <f t="shared" si="105"/>
        <v>0</v>
      </c>
      <c r="BL22" s="596">
        <f t="shared" ref="BL22:BM23" si="106">IF(($C$7-$E22&lt;=$H22),(($I22+$J22)/2*$C$8*O22),0)</f>
        <v>0</v>
      </c>
      <c r="BM22" s="596">
        <f t="shared" si="106"/>
        <v>0</v>
      </c>
      <c r="BN22" s="596">
        <f t="shared" ref="BN22:BN23" si="107">IF(($C$7-$E22&lt;=$H22),(($I22+$J22)/2*$C$8*Q22),0)</f>
        <v>0</v>
      </c>
      <c r="BO22" s="596">
        <f t="shared" ref="BO22:BS24" si="108">IF(($C$7-$E22&lt;=$H22),(($I22+$J22)/2*$C$8*R22),0)</f>
        <v>0</v>
      </c>
      <c r="BP22" s="596">
        <f t="shared" si="108"/>
        <v>0</v>
      </c>
      <c r="BQ22" s="596">
        <f t="shared" si="108"/>
        <v>0</v>
      </c>
      <c r="BR22" s="596">
        <f t="shared" si="108"/>
        <v>0</v>
      </c>
      <c r="BS22" s="596">
        <f t="shared" si="108"/>
        <v>0</v>
      </c>
      <c r="BT22" s="596">
        <f t="shared" si="20"/>
        <v>0</v>
      </c>
      <c r="BU22" s="596">
        <f t="shared" si="21"/>
        <v>0</v>
      </c>
      <c r="BV22" s="596">
        <f t="shared" si="22"/>
        <v>0</v>
      </c>
      <c r="BW22" s="596">
        <f t="shared" si="23"/>
        <v>0</v>
      </c>
      <c r="BX22" s="596">
        <f t="shared" si="24"/>
        <v>0</v>
      </c>
      <c r="BY22" s="596">
        <f t="shared" si="25"/>
        <v>0</v>
      </c>
      <c r="BZ22" s="596">
        <f t="shared" si="26"/>
        <v>0</v>
      </c>
      <c r="CA22" s="596">
        <f t="shared" si="27"/>
        <v>0</v>
      </c>
      <c r="CB22" s="596">
        <f t="shared" si="28"/>
        <v>0</v>
      </c>
      <c r="CC22" s="596">
        <f t="shared" ref="CC22:CC23" si="109">IF(($C$7-$E22&lt;=$H22),(($I22+$J22)/2*$C$8*AF22),0)</f>
        <v>0</v>
      </c>
      <c r="CD22" s="596">
        <f t="shared" ref="CD22:CD23" si="110">IF(($C$7-$E22&lt;=$H22),(($I22+$J22)/2*$C$8*AG22),0)</f>
        <v>0</v>
      </c>
      <c r="CE22" s="596">
        <f t="shared" si="30"/>
        <v>0</v>
      </c>
      <c r="CF22" s="596">
        <f t="shared" si="31"/>
        <v>0</v>
      </c>
      <c r="CG22" s="602">
        <f t="shared" ref="CG22:CI24" si="111">$I22*$K22*L22</f>
        <v>0</v>
      </c>
      <c r="CH22" s="596">
        <f t="shared" si="111"/>
        <v>0</v>
      </c>
      <c r="CI22" s="596">
        <f t="shared" si="111"/>
        <v>0</v>
      </c>
      <c r="CJ22" s="596">
        <f t="shared" ref="CJ22:CK23" si="112">$I22*$K22*O22</f>
        <v>0</v>
      </c>
      <c r="CK22" s="596">
        <f t="shared" si="112"/>
        <v>0</v>
      </c>
      <c r="CL22" s="596">
        <f t="shared" ref="CL22:CL23" si="113">$I22*$K22*Q22</f>
        <v>0</v>
      </c>
      <c r="CM22" s="596">
        <f t="shared" ref="CM22:CQ24" si="114">$I22*$K22*R22</f>
        <v>0</v>
      </c>
      <c r="CN22" s="596">
        <f t="shared" si="114"/>
        <v>0</v>
      </c>
      <c r="CO22" s="596">
        <f t="shared" si="114"/>
        <v>0</v>
      </c>
      <c r="CP22" s="596">
        <f t="shared" si="114"/>
        <v>0</v>
      </c>
      <c r="CQ22" s="596">
        <f t="shared" si="114"/>
        <v>0</v>
      </c>
      <c r="CR22" s="596">
        <f t="shared" si="33"/>
        <v>0</v>
      </c>
      <c r="CS22" s="596">
        <f t="shared" si="34"/>
        <v>0</v>
      </c>
      <c r="CT22" s="596">
        <f t="shared" si="35"/>
        <v>0</v>
      </c>
      <c r="CU22" s="596">
        <f t="shared" si="36"/>
        <v>0</v>
      </c>
      <c r="CV22" s="596">
        <f t="shared" si="37"/>
        <v>0</v>
      </c>
      <c r="CW22" s="596">
        <f t="shared" si="38"/>
        <v>0</v>
      </c>
      <c r="CX22" s="596">
        <f t="shared" si="39"/>
        <v>0</v>
      </c>
      <c r="CY22" s="596">
        <f t="shared" si="40"/>
        <v>0</v>
      </c>
      <c r="CZ22" s="596">
        <f t="shared" si="41"/>
        <v>0</v>
      </c>
      <c r="DA22" s="596">
        <f t="shared" ref="DA22:DA23" si="115">$I22*$K22*AF22</f>
        <v>0</v>
      </c>
      <c r="DB22" s="596">
        <f t="shared" ref="DB22:DB23" si="116">$I22*$K22*AG22</f>
        <v>0</v>
      </c>
      <c r="DC22" s="596">
        <f t="shared" si="43"/>
        <v>0</v>
      </c>
      <c r="DD22" s="596">
        <f t="shared" si="44"/>
        <v>0</v>
      </c>
      <c r="DE22" s="602">
        <f t="shared" si="45"/>
        <v>0</v>
      </c>
      <c r="DF22" s="596">
        <f t="shared" ref="DF22:DG24" si="117">$I22*$C$9*M22</f>
        <v>0</v>
      </c>
      <c r="DG22" s="596">
        <f t="shared" si="117"/>
        <v>0</v>
      </c>
      <c r="DH22" s="596">
        <f t="shared" ref="DH22:DI23" si="118">$I22*$C$9*O22</f>
        <v>0</v>
      </c>
      <c r="DI22" s="596">
        <f t="shared" si="118"/>
        <v>0</v>
      </c>
      <c r="DJ22" s="596">
        <f t="shared" ref="DJ22:DJ23" si="119">$I22*$C$9*Q22</f>
        <v>0</v>
      </c>
      <c r="DK22" s="596">
        <f t="shared" ref="DK22:DO24" si="120">$I22*$C$9*R22</f>
        <v>0</v>
      </c>
      <c r="DL22" s="596">
        <f t="shared" si="120"/>
        <v>0</v>
      </c>
      <c r="DM22" s="596">
        <f t="shared" si="120"/>
        <v>0</v>
      </c>
      <c r="DN22" s="596">
        <f t="shared" si="120"/>
        <v>0</v>
      </c>
      <c r="DO22" s="596">
        <f t="shared" si="120"/>
        <v>0</v>
      </c>
      <c r="DP22" s="596">
        <f t="shared" si="47"/>
        <v>0</v>
      </c>
      <c r="DQ22" s="596">
        <f t="shared" si="48"/>
        <v>0</v>
      </c>
      <c r="DR22" s="596">
        <f t="shared" si="49"/>
        <v>0</v>
      </c>
      <c r="DS22" s="596">
        <f t="shared" si="50"/>
        <v>0</v>
      </c>
      <c r="DT22" s="596">
        <f t="shared" si="51"/>
        <v>0</v>
      </c>
      <c r="DU22" s="596">
        <f t="shared" si="52"/>
        <v>0</v>
      </c>
      <c r="DV22" s="596">
        <f t="shared" si="53"/>
        <v>0</v>
      </c>
      <c r="DW22" s="596">
        <f t="shared" si="54"/>
        <v>0</v>
      </c>
      <c r="DX22" s="596">
        <f t="shared" si="55"/>
        <v>0</v>
      </c>
      <c r="DY22" s="596">
        <f t="shared" ref="DY22:DY23" si="121">$I22*$C$9*AF22</f>
        <v>0</v>
      </c>
      <c r="DZ22" s="596">
        <f t="shared" ref="DZ22:DZ23" si="122">$I22*$C$9*AG22</f>
        <v>0</v>
      </c>
      <c r="EA22" s="596">
        <f t="shared" si="57"/>
        <v>0</v>
      </c>
      <c r="EB22" s="603">
        <f t="shared" si="58"/>
        <v>0</v>
      </c>
    </row>
    <row r="23" spans="1:132" ht="13.8" thickBot="1" x14ac:dyDescent="0.3">
      <c r="B23" s="13" t="str">
        <f>'Gårdens info'!C79</f>
        <v>byggnad X</v>
      </c>
      <c r="D23" s="13"/>
      <c r="E23" s="33">
        <f>'Gårdens info'!J79</f>
        <v>0</v>
      </c>
      <c r="F23" s="13"/>
      <c r="G23" s="13"/>
      <c r="H23" s="417">
        <v>25</v>
      </c>
      <c r="I23" s="33">
        <f>'Gårdens info'!D79</f>
        <v>0</v>
      </c>
      <c r="J23" s="417">
        <v>0</v>
      </c>
      <c r="K23" s="418">
        <v>0.01</v>
      </c>
      <c r="L23"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23"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23"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23"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23"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23"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23"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23"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23"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23"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23"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23"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23"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23"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23"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23"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23"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23"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23"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23"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23"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23"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23"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23"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23" s="410">
        <f t="shared" si="4"/>
        <v>1</v>
      </c>
      <c r="AK23" s="602">
        <f t="shared" si="5"/>
        <v>0</v>
      </c>
      <c r="AL23" s="596">
        <f>IF((($C$7-$E23)&lt;=$H23),(($I23-$J23)/$H23*M23),0)</f>
        <v>0</v>
      </c>
      <c r="AM23" s="596">
        <f>IF((($C$7-$E23)&lt;=$H23),(($I23-$J23)/$H23*N23),0)</f>
        <v>0</v>
      </c>
      <c r="AN23" s="596">
        <f t="shared" ref="AN23:AO23" si="123">IF((($C$7-$E23)&lt;=$H23),(($I23-$J23)/$H23*O23),0)</f>
        <v>0</v>
      </c>
      <c r="AO23" s="596">
        <f t="shared" si="123"/>
        <v>0</v>
      </c>
      <c r="AP23" s="596">
        <f t="shared" ref="AP23" si="124">IF((($C$7-$E23)&lt;=$H23),(($I23-$J23)/$H23*Q23),0)</f>
        <v>0</v>
      </c>
      <c r="AQ23" s="596">
        <f t="shared" ref="AQ23:AU24" si="125">IF((($C$7-$E23)&lt;=$H23),(($I23-$J23)/$H23*R23),0)</f>
        <v>0</v>
      </c>
      <c r="AR23" s="596">
        <f t="shared" si="125"/>
        <v>0</v>
      </c>
      <c r="AS23" s="596">
        <f t="shared" si="125"/>
        <v>0</v>
      </c>
      <c r="AT23" s="596">
        <f t="shared" si="125"/>
        <v>0</v>
      </c>
      <c r="AU23" s="596">
        <f t="shared" si="125"/>
        <v>0</v>
      </c>
      <c r="AV23" s="596">
        <f t="shared" si="7"/>
        <v>0</v>
      </c>
      <c r="AW23" s="596">
        <f t="shared" si="8"/>
        <v>0</v>
      </c>
      <c r="AX23" s="596">
        <f t="shared" si="9"/>
        <v>0</v>
      </c>
      <c r="AY23" s="596">
        <f t="shared" si="10"/>
        <v>0</v>
      </c>
      <c r="AZ23" s="596">
        <f t="shared" si="11"/>
        <v>0</v>
      </c>
      <c r="BA23" s="596">
        <f t="shared" si="12"/>
        <v>0</v>
      </c>
      <c r="BB23" s="596">
        <f t="shared" si="13"/>
        <v>0</v>
      </c>
      <c r="BC23" s="596">
        <f t="shared" si="14"/>
        <v>0</v>
      </c>
      <c r="BD23" s="596">
        <f t="shared" si="15"/>
        <v>0</v>
      </c>
      <c r="BE23" s="596">
        <f t="shared" ref="BE23" si="126">IF((($C$7-$E23)&lt;=$H23),(($I23-$J23)/$H23*AF23),0)</f>
        <v>0</v>
      </c>
      <c r="BF23" s="596">
        <f t="shared" ref="BF23" si="127">IF((($C$7-$E23)&lt;=$H23),(($I23-$J23)/$H23*AG23),0)</f>
        <v>0</v>
      </c>
      <c r="BG23" s="596">
        <f t="shared" si="17"/>
        <v>0</v>
      </c>
      <c r="BH23" s="596">
        <f t="shared" si="18"/>
        <v>0</v>
      </c>
      <c r="BI23" s="602">
        <f t="shared" si="105"/>
        <v>0</v>
      </c>
      <c r="BJ23" s="596">
        <f t="shared" si="105"/>
        <v>0</v>
      </c>
      <c r="BK23" s="596">
        <f t="shared" si="105"/>
        <v>0</v>
      </c>
      <c r="BL23" s="596">
        <f t="shared" si="106"/>
        <v>0</v>
      </c>
      <c r="BM23" s="596">
        <f t="shared" si="106"/>
        <v>0</v>
      </c>
      <c r="BN23" s="596">
        <f t="shared" si="107"/>
        <v>0</v>
      </c>
      <c r="BO23" s="596">
        <f t="shared" si="108"/>
        <v>0</v>
      </c>
      <c r="BP23" s="596">
        <f t="shared" si="108"/>
        <v>0</v>
      </c>
      <c r="BQ23" s="596">
        <f t="shared" si="108"/>
        <v>0</v>
      </c>
      <c r="BR23" s="596">
        <f t="shared" si="108"/>
        <v>0</v>
      </c>
      <c r="BS23" s="596">
        <f t="shared" si="108"/>
        <v>0</v>
      </c>
      <c r="BT23" s="596">
        <f t="shared" si="20"/>
        <v>0</v>
      </c>
      <c r="BU23" s="596">
        <f t="shared" si="21"/>
        <v>0</v>
      </c>
      <c r="BV23" s="596">
        <f t="shared" si="22"/>
        <v>0</v>
      </c>
      <c r="BW23" s="596">
        <f t="shared" si="23"/>
        <v>0</v>
      </c>
      <c r="BX23" s="596">
        <f t="shared" si="24"/>
        <v>0</v>
      </c>
      <c r="BY23" s="596">
        <f t="shared" si="25"/>
        <v>0</v>
      </c>
      <c r="BZ23" s="596">
        <f t="shared" si="26"/>
        <v>0</v>
      </c>
      <c r="CA23" s="596">
        <f t="shared" si="27"/>
        <v>0</v>
      </c>
      <c r="CB23" s="596">
        <f t="shared" si="28"/>
        <v>0</v>
      </c>
      <c r="CC23" s="596">
        <f t="shared" si="109"/>
        <v>0</v>
      </c>
      <c r="CD23" s="596">
        <f t="shared" si="110"/>
        <v>0</v>
      </c>
      <c r="CE23" s="596">
        <f t="shared" si="30"/>
        <v>0</v>
      </c>
      <c r="CF23" s="596">
        <f t="shared" si="31"/>
        <v>0</v>
      </c>
      <c r="CG23" s="602">
        <f t="shared" si="111"/>
        <v>0</v>
      </c>
      <c r="CH23" s="596">
        <f t="shared" si="111"/>
        <v>0</v>
      </c>
      <c r="CI23" s="596">
        <f t="shared" si="111"/>
        <v>0</v>
      </c>
      <c r="CJ23" s="596">
        <f t="shared" si="112"/>
        <v>0</v>
      </c>
      <c r="CK23" s="596">
        <f t="shared" si="112"/>
        <v>0</v>
      </c>
      <c r="CL23" s="596">
        <f t="shared" si="113"/>
        <v>0</v>
      </c>
      <c r="CM23" s="596">
        <f t="shared" si="114"/>
        <v>0</v>
      </c>
      <c r="CN23" s="596">
        <f t="shared" si="114"/>
        <v>0</v>
      </c>
      <c r="CO23" s="596">
        <f t="shared" si="114"/>
        <v>0</v>
      </c>
      <c r="CP23" s="596">
        <f t="shared" si="114"/>
        <v>0</v>
      </c>
      <c r="CQ23" s="596">
        <f t="shared" si="114"/>
        <v>0</v>
      </c>
      <c r="CR23" s="596">
        <f t="shared" si="33"/>
        <v>0</v>
      </c>
      <c r="CS23" s="596">
        <f t="shared" si="34"/>
        <v>0</v>
      </c>
      <c r="CT23" s="596">
        <f t="shared" si="35"/>
        <v>0</v>
      </c>
      <c r="CU23" s="596">
        <f t="shared" si="36"/>
        <v>0</v>
      </c>
      <c r="CV23" s="596">
        <f t="shared" si="37"/>
        <v>0</v>
      </c>
      <c r="CW23" s="596">
        <f t="shared" si="38"/>
        <v>0</v>
      </c>
      <c r="CX23" s="596">
        <f t="shared" si="39"/>
        <v>0</v>
      </c>
      <c r="CY23" s="596">
        <f t="shared" si="40"/>
        <v>0</v>
      </c>
      <c r="CZ23" s="596">
        <f t="shared" si="41"/>
        <v>0</v>
      </c>
      <c r="DA23" s="596">
        <f t="shared" si="115"/>
        <v>0</v>
      </c>
      <c r="DB23" s="596">
        <f t="shared" si="116"/>
        <v>0</v>
      </c>
      <c r="DC23" s="596">
        <f t="shared" si="43"/>
        <v>0</v>
      </c>
      <c r="DD23" s="596">
        <f t="shared" si="44"/>
        <v>0</v>
      </c>
      <c r="DE23" s="602">
        <f t="shared" si="45"/>
        <v>0</v>
      </c>
      <c r="DF23" s="596">
        <f t="shared" si="117"/>
        <v>0</v>
      </c>
      <c r="DG23" s="596">
        <f t="shared" si="117"/>
        <v>0</v>
      </c>
      <c r="DH23" s="596">
        <f t="shared" si="118"/>
        <v>0</v>
      </c>
      <c r="DI23" s="596">
        <f t="shared" si="118"/>
        <v>0</v>
      </c>
      <c r="DJ23" s="596">
        <f t="shared" si="119"/>
        <v>0</v>
      </c>
      <c r="DK23" s="596">
        <f t="shared" si="120"/>
        <v>0</v>
      </c>
      <c r="DL23" s="596">
        <f t="shared" si="120"/>
        <v>0</v>
      </c>
      <c r="DM23" s="596">
        <f t="shared" si="120"/>
        <v>0</v>
      </c>
      <c r="DN23" s="596">
        <f t="shared" si="120"/>
        <v>0</v>
      </c>
      <c r="DO23" s="596">
        <f t="shared" si="120"/>
        <v>0</v>
      </c>
      <c r="DP23" s="596">
        <f t="shared" si="47"/>
        <v>0</v>
      </c>
      <c r="DQ23" s="596">
        <f t="shared" si="48"/>
        <v>0</v>
      </c>
      <c r="DR23" s="596">
        <f t="shared" si="49"/>
        <v>0</v>
      </c>
      <c r="DS23" s="596">
        <f t="shared" si="50"/>
        <v>0</v>
      </c>
      <c r="DT23" s="596">
        <f t="shared" si="51"/>
        <v>0</v>
      </c>
      <c r="DU23" s="596">
        <f t="shared" si="52"/>
        <v>0</v>
      </c>
      <c r="DV23" s="596">
        <f t="shared" si="53"/>
        <v>0</v>
      </c>
      <c r="DW23" s="596">
        <f t="shared" si="54"/>
        <v>0</v>
      </c>
      <c r="DX23" s="596">
        <f t="shared" si="55"/>
        <v>0</v>
      </c>
      <c r="DY23" s="596">
        <f t="shared" si="121"/>
        <v>0</v>
      </c>
      <c r="DZ23" s="596">
        <f t="shared" si="122"/>
        <v>0</v>
      </c>
      <c r="EA23" s="596">
        <f t="shared" si="57"/>
        <v>0</v>
      </c>
      <c r="EB23" s="603">
        <f t="shared" si="58"/>
        <v>0</v>
      </c>
    </row>
    <row r="24" spans="1:132" ht="13.8" thickBot="1" x14ac:dyDescent="0.3">
      <c r="B24" s="13" t="str">
        <f>'Gårdens info'!C80</f>
        <v>byggnad X</v>
      </c>
      <c r="D24" s="13"/>
      <c r="E24" s="33">
        <f>'Gårdens info'!J80</f>
        <v>0</v>
      </c>
      <c r="F24" s="13"/>
      <c r="G24" s="13"/>
      <c r="H24" s="417">
        <v>25</v>
      </c>
      <c r="I24" s="33">
        <f>'Gårdens info'!D80</f>
        <v>0</v>
      </c>
      <c r="J24" s="417">
        <v>0</v>
      </c>
      <c r="K24" s="418">
        <v>0.01</v>
      </c>
      <c r="L24"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24"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24"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24"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24"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24"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24"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24"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24"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24"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24"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24"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24"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24"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24"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24"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24"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24"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24"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24"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24"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24"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24"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24"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24" s="410">
        <f t="shared" si="4"/>
        <v>1</v>
      </c>
      <c r="AK24" s="23">
        <f t="shared" si="5"/>
        <v>0</v>
      </c>
      <c r="AL24" s="1">
        <f>IF((($C$7-$E24)&lt;=$H24),(($I24-$J24)/$H24*M24),0)</f>
        <v>0</v>
      </c>
      <c r="AM24" s="1">
        <f>IF((($C$7-$E24)&lt;=$H24),(($I24-$J24)/$H24*N24),0)</f>
        <v>0</v>
      </c>
      <c r="AN24" s="1">
        <f>IF((($C$7-$E24)&lt;=$H24),(($I24-$J24)/$H24*O24),0)</f>
        <v>0</v>
      </c>
      <c r="AO24" s="1">
        <f>IF((($C$7-$E24)&lt;=$H24),(($I24-$J24)/$H24*P24),0)</f>
        <v>0</v>
      </c>
      <c r="AP24" s="1">
        <f>IF((($C$7-$E24)&lt;=$H24),(($I24-$J24)/$H24*Q24),0)</f>
        <v>0</v>
      </c>
      <c r="AQ24" s="1">
        <f t="shared" si="125"/>
        <v>0</v>
      </c>
      <c r="AR24" s="1">
        <f t="shared" si="125"/>
        <v>0</v>
      </c>
      <c r="AS24" s="1">
        <f t="shared" si="125"/>
        <v>0</v>
      </c>
      <c r="AT24" s="1">
        <f t="shared" si="125"/>
        <v>0</v>
      </c>
      <c r="AU24" s="1">
        <f t="shared" si="125"/>
        <v>0</v>
      </c>
      <c r="AV24" s="1">
        <f t="shared" si="7"/>
        <v>0</v>
      </c>
      <c r="AW24" s="1">
        <f t="shared" si="8"/>
        <v>0</v>
      </c>
      <c r="AX24" s="1">
        <f t="shared" si="9"/>
        <v>0</v>
      </c>
      <c r="AY24" s="1">
        <f t="shared" si="10"/>
        <v>0</v>
      </c>
      <c r="AZ24" s="1">
        <f t="shared" si="11"/>
        <v>0</v>
      </c>
      <c r="BA24" s="1">
        <f t="shared" si="12"/>
        <v>0</v>
      </c>
      <c r="BB24" s="1">
        <f>IF((($C$7-$E24)&lt;=$H24),((#REF!-$J24)/$H24*AC24),0)</f>
        <v>0</v>
      </c>
      <c r="BC24" s="1">
        <f t="shared" si="14"/>
        <v>0</v>
      </c>
      <c r="BD24" s="1">
        <f t="shared" si="15"/>
        <v>0</v>
      </c>
      <c r="BE24" s="1">
        <f>IF((($C$7-$E24)&lt;=$H24),(($I24-$J24)/$H24*AF24),0)</f>
        <v>0</v>
      </c>
      <c r="BF24" s="1">
        <f>IF((($C$7-$E24)&lt;=$H24),(($I24-$J24)/$H24*AG24),0)</f>
        <v>0</v>
      </c>
      <c r="BG24" s="1">
        <f t="shared" si="17"/>
        <v>0</v>
      </c>
      <c r="BH24" s="1">
        <f t="shared" si="18"/>
        <v>0</v>
      </c>
      <c r="BI24" s="23">
        <f t="shared" si="105"/>
        <v>0</v>
      </c>
      <c r="BJ24" s="1">
        <f t="shared" si="105"/>
        <v>0</v>
      </c>
      <c r="BK24" s="1">
        <f t="shared" si="105"/>
        <v>0</v>
      </c>
      <c r="BL24" s="1">
        <f>IF(($C$7-$E24&lt;=$H24),(($I24+$J24)/2*$C$8*O24),0)</f>
        <v>0</v>
      </c>
      <c r="BM24" s="1">
        <f>IF(($C$7-$E24&lt;=$H24),(($I24+$J24)/2*$C$8*P24),0)</f>
        <v>0</v>
      </c>
      <c r="BN24" s="1">
        <f>IF(($C$7-$E24&lt;=$H24),(($I24+$J24)/2*$C$8*Q24),0)</f>
        <v>0</v>
      </c>
      <c r="BO24" s="1">
        <f t="shared" si="108"/>
        <v>0</v>
      </c>
      <c r="BP24" s="1">
        <f t="shared" si="108"/>
        <v>0</v>
      </c>
      <c r="BQ24" s="1">
        <f t="shared" si="108"/>
        <v>0</v>
      </c>
      <c r="BR24" s="1">
        <f t="shared" si="108"/>
        <v>0</v>
      </c>
      <c r="BS24" s="1">
        <f t="shared" si="108"/>
        <v>0</v>
      </c>
      <c r="BT24" s="1">
        <f t="shared" si="20"/>
        <v>0</v>
      </c>
      <c r="BU24" s="1">
        <f t="shared" si="21"/>
        <v>0</v>
      </c>
      <c r="BV24" s="1">
        <f t="shared" si="22"/>
        <v>0</v>
      </c>
      <c r="BW24" s="1">
        <f t="shared" si="23"/>
        <v>0</v>
      </c>
      <c r="BX24" s="1">
        <f t="shared" si="24"/>
        <v>0</v>
      </c>
      <c r="BY24" s="1">
        <f t="shared" si="25"/>
        <v>0</v>
      </c>
      <c r="BZ24" s="1">
        <f t="shared" si="26"/>
        <v>0</v>
      </c>
      <c r="CA24" s="1">
        <f t="shared" si="27"/>
        <v>0</v>
      </c>
      <c r="CB24" s="1">
        <f t="shared" si="28"/>
        <v>0</v>
      </c>
      <c r="CC24" s="1">
        <f>IF(($C$7-$E24&lt;=$H24),(($I24+$J24)/2*$C$8*AF24),0)</f>
        <v>0</v>
      </c>
      <c r="CD24" s="1">
        <f>IF(($C$7-$E24&lt;=$H24),(($I24+$J24)/2*$C$8*AG24),0)</f>
        <v>0</v>
      </c>
      <c r="CE24" s="1">
        <f t="shared" si="30"/>
        <v>0</v>
      </c>
      <c r="CF24" s="1">
        <f t="shared" si="31"/>
        <v>0</v>
      </c>
      <c r="CG24" s="23">
        <f t="shared" si="111"/>
        <v>0</v>
      </c>
      <c r="CH24" s="1">
        <f t="shared" si="111"/>
        <v>0</v>
      </c>
      <c r="CI24" s="1">
        <f t="shared" si="111"/>
        <v>0</v>
      </c>
      <c r="CJ24" s="1">
        <f>$I24*$K24*O24</f>
        <v>0</v>
      </c>
      <c r="CK24" s="1">
        <f>$I24*$K24*P24</f>
        <v>0</v>
      </c>
      <c r="CL24" s="1">
        <f>$I24*$K24*Q24</f>
        <v>0</v>
      </c>
      <c r="CM24" s="1">
        <f t="shared" si="114"/>
        <v>0</v>
      </c>
      <c r="CN24" s="1">
        <f t="shared" si="114"/>
        <v>0</v>
      </c>
      <c r="CO24" s="1">
        <f t="shared" si="114"/>
        <v>0</v>
      </c>
      <c r="CP24" s="1">
        <f t="shared" si="114"/>
        <v>0</v>
      </c>
      <c r="CQ24" s="1">
        <f t="shared" si="114"/>
        <v>0</v>
      </c>
      <c r="CR24" s="1">
        <f t="shared" si="33"/>
        <v>0</v>
      </c>
      <c r="CS24" s="1">
        <f t="shared" si="34"/>
        <v>0</v>
      </c>
      <c r="CT24" s="1">
        <f t="shared" si="35"/>
        <v>0</v>
      </c>
      <c r="CU24" s="1">
        <f t="shared" si="36"/>
        <v>0</v>
      </c>
      <c r="CV24" s="1">
        <f>$I24*$K24*AA24</f>
        <v>0</v>
      </c>
      <c r="CW24" s="1">
        <f t="shared" si="38"/>
        <v>0</v>
      </c>
      <c r="CX24" s="1">
        <f t="shared" si="39"/>
        <v>0</v>
      </c>
      <c r="CY24" s="1">
        <f t="shared" si="40"/>
        <v>0</v>
      </c>
      <c r="CZ24" s="1">
        <f t="shared" si="41"/>
        <v>0</v>
      </c>
      <c r="DA24" s="1">
        <f>$I24*$K24*AF24</f>
        <v>0</v>
      </c>
      <c r="DB24" s="1">
        <f>$I24*$K24*AG24</f>
        <v>0</v>
      </c>
      <c r="DC24" s="1">
        <f t="shared" si="43"/>
        <v>0</v>
      </c>
      <c r="DD24" s="1">
        <f t="shared" si="44"/>
        <v>0</v>
      </c>
      <c r="DE24" s="23">
        <f t="shared" si="45"/>
        <v>0</v>
      </c>
      <c r="DF24" s="1">
        <f t="shared" si="117"/>
        <v>0</v>
      </c>
      <c r="DG24" s="1">
        <f t="shared" si="117"/>
        <v>0</v>
      </c>
      <c r="DH24" s="1">
        <f>$I24*$C$9*O24</f>
        <v>0</v>
      </c>
      <c r="DI24" s="1">
        <f>$I24*$C$9*P24</f>
        <v>0</v>
      </c>
      <c r="DJ24" s="1">
        <f>$I24*$C$9*Q24</f>
        <v>0</v>
      </c>
      <c r="DK24" s="1">
        <f t="shared" si="120"/>
        <v>0</v>
      </c>
      <c r="DL24" s="1">
        <f t="shared" si="120"/>
        <v>0</v>
      </c>
      <c r="DM24" s="1">
        <f t="shared" si="120"/>
        <v>0</v>
      </c>
      <c r="DN24" s="1">
        <f t="shared" si="120"/>
        <v>0</v>
      </c>
      <c r="DO24" s="1">
        <f t="shared" si="120"/>
        <v>0</v>
      </c>
      <c r="DP24" s="1">
        <f t="shared" si="47"/>
        <v>0</v>
      </c>
      <c r="DQ24" s="1">
        <f t="shared" si="48"/>
        <v>0</v>
      </c>
      <c r="DR24" s="1">
        <f t="shared" si="49"/>
        <v>0</v>
      </c>
      <c r="DS24" s="1">
        <f t="shared" si="50"/>
        <v>0</v>
      </c>
      <c r="DT24" s="1">
        <f t="shared" si="51"/>
        <v>0</v>
      </c>
      <c r="DU24" s="1">
        <f t="shared" si="52"/>
        <v>0</v>
      </c>
      <c r="DV24" s="1">
        <f t="shared" si="53"/>
        <v>0</v>
      </c>
      <c r="DW24" s="1">
        <f t="shared" si="54"/>
        <v>0</v>
      </c>
      <c r="DX24" s="1">
        <f t="shared" si="55"/>
        <v>0</v>
      </c>
      <c r="DY24" s="1">
        <f>$I24*$C$9*AF24</f>
        <v>0</v>
      </c>
      <c r="DZ24" s="1">
        <f>$I24*$C$9*AG24</f>
        <v>0</v>
      </c>
      <c r="EA24" s="1">
        <f t="shared" si="57"/>
        <v>0</v>
      </c>
      <c r="EB24" s="24">
        <f t="shared" si="58"/>
        <v>0</v>
      </c>
    </row>
    <row r="25" spans="1:132" x14ac:dyDescent="0.25">
      <c r="A25" s="43" t="s">
        <v>54</v>
      </c>
      <c r="B25" s="9"/>
      <c r="C25" s="9"/>
      <c r="D25" s="9"/>
      <c r="E25" s="9"/>
      <c r="F25" s="9"/>
      <c r="G25" s="9"/>
      <c r="H25" s="9"/>
      <c r="I25" s="9"/>
      <c r="J25" s="9"/>
      <c r="K25" s="9"/>
      <c r="L25" s="29"/>
      <c r="M25" s="9"/>
      <c r="N25" s="9"/>
      <c r="O25" s="9"/>
      <c r="P25" s="9"/>
      <c r="Q25" s="9"/>
      <c r="R25" s="9"/>
      <c r="S25" s="9"/>
      <c r="T25" s="9"/>
      <c r="U25" s="9"/>
      <c r="V25" s="9"/>
      <c r="W25" s="9"/>
      <c r="X25" s="9"/>
      <c r="Y25" s="9"/>
      <c r="Z25" s="9"/>
      <c r="AA25" s="9"/>
      <c r="AB25" s="9"/>
      <c r="AC25" s="9"/>
      <c r="AD25" s="9"/>
      <c r="AE25" s="9"/>
      <c r="AF25" s="9"/>
      <c r="AG25" s="9"/>
      <c r="AH25" s="9"/>
      <c r="AI25" s="9"/>
      <c r="AJ25" s="40"/>
      <c r="AK25" s="25">
        <f>SUM(AK14:AK24)</f>
        <v>3178.8384128809662</v>
      </c>
      <c r="AL25" s="10">
        <f t="shared" ref="AL25" si="128">SUM(AL14:AL24)</f>
        <v>4678.2978723404258</v>
      </c>
      <c r="AM25" s="10">
        <f t="shared" ref="AM25:BB25" si="129">SUM(AM14:AM24)</f>
        <v>3178.8384128809662</v>
      </c>
      <c r="AN25" s="10">
        <f t="shared" si="129"/>
        <v>2519.9375667460772</v>
      </c>
      <c r="AO25" s="10">
        <f t="shared" ref="AO25" si="130">SUM(AO14:AO24)</f>
        <v>6299.843916865193</v>
      </c>
      <c r="AP25" s="10">
        <f t="shared" ref="AP25:AU25" si="131">SUM(AP14:AP24)</f>
        <v>462.79470960322027</v>
      </c>
      <c r="AQ25" s="10">
        <f t="shared" si="131"/>
        <v>0</v>
      </c>
      <c r="AR25" s="10">
        <f t="shared" si="131"/>
        <v>0</v>
      </c>
      <c r="AS25" s="10">
        <f t="shared" si="131"/>
        <v>0</v>
      </c>
      <c r="AT25" s="10">
        <f t="shared" si="131"/>
        <v>0</v>
      </c>
      <c r="AU25" s="10">
        <f t="shared" si="131"/>
        <v>0</v>
      </c>
      <c r="AV25" s="10">
        <f t="shared" si="129"/>
        <v>953.65152386428986</v>
      </c>
      <c r="AW25" s="10">
        <f t="shared" si="129"/>
        <v>0</v>
      </c>
      <c r="AX25" s="10">
        <f t="shared" si="129"/>
        <v>0</v>
      </c>
      <c r="AY25" s="10">
        <f t="shared" si="129"/>
        <v>0</v>
      </c>
      <c r="AZ25" s="10">
        <f t="shared" si="129"/>
        <v>0</v>
      </c>
      <c r="BA25" s="10">
        <f t="shared" si="129"/>
        <v>0</v>
      </c>
      <c r="BB25" s="10">
        <f t="shared" si="129"/>
        <v>1589.4192064404831</v>
      </c>
      <c r="BC25" s="10">
        <f>SUM(BC14:BC24)</f>
        <v>0</v>
      </c>
      <c r="BD25" s="10">
        <f t="shared" ref="BD25" si="132">SUM(BD14:BD24)</f>
        <v>0</v>
      </c>
      <c r="BE25" s="10">
        <f t="shared" ref="BE25:BF25" si="133">SUM(BE14:BE24)</f>
        <v>0</v>
      </c>
      <c r="BF25" s="10">
        <f t="shared" si="133"/>
        <v>0</v>
      </c>
      <c r="BG25" s="10">
        <f t="shared" ref="BG25" si="134">SUM(BG14:BG24)</f>
        <v>0</v>
      </c>
      <c r="BH25" s="10">
        <f t="shared" ref="BH25" si="135">SUM(BH14:BH24)</f>
        <v>0</v>
      </c>
      <c r="BI25" s="25">
        <f t="shared" ref="BI25:CF25" si="136">SUM(BI14:BI24)</f>
        <v>1986.7740080506037</v>
      </c>
      <c r="BJ25" s="10">
        <f t="shared" ref="BJ25" si="137">SUM(BJ14:BJ24)</f>
        <v>2923.9361702127662</v>
      </c>
      <c r="BK25" s="10">
        <f t="shared" si="136"/>
        <v>1986.7740080506037</v>
      </c>
      <c r="BL25" s="10">
        <f t="shared" si="136"/>
        <v>1574.9609792162983</v>
      </c>
      <c r="BM25" s="10">
        <f t="shared" ref="BM25" si="138">SUM(BM14:BM24)</f>
        <v>3937.4024480407461</v>
      </c>
      <c r="BN25" s="10">
        <f t="shared" ref="BN25:BS25" si="139">SUM(BN14:BN24)</f>
        <v>289.24669350201265</v>
      </c>
      <c r="BO25" s="10">
        <f t="shared" si="139"/>
        <v>0</v>
      </c>
      <c r="BP25" s="10">
        <f t="shared" si="139"/>
        <v>0</v>
      </c>
      <c r="BQ25" s="10">
        <f t="shared" si="139"/>
        <v>0</v>
      </c>
      <c r="BR25" s="10">
        <f t="shared" si="139"/>
        <v>0</v>
      </c>
      <c r="BS25" s="10">
        <f t="shared" si="139"/>
        <v>0</v>
      </c>
      <c r="BT25" s="10">
        <f t="shared" si="136"/>
        <v>596.03220241518113</v>
      </c>
      <c r="BU25" s="10">
        <f t="shared" si="136"/>
        <v>0</v>
      </c>
      <c r="BV25" s="10">
        <f t="shared" si="136"/>
        <v>0</v>
      </c>
      <c r="BW25" s="10">
        <f t="shared" si="136"/>
        <v>0</v>
      </c>
      <c r="BX25" s="10">
        <f t="shared" si="136"/>
        <v>0</v>
      </c>
      <c r="BY25" s="10">
        <f t="shared" si="136"/>
        <v>0</v>
      </c>
      <c r="BZ25" s="10">
        <f t="shared" si="136"/>
        <v>993.38700402530185</v>
      </c>
      <c r="CA25" s="10">
        <f t="shared" si="136"/>
        <v>0</v>
      </c>
      <c r="CB25" s="10">
        <f t="shared" si="136"/>
        <v>0</v>
      </c>
      <c r="CC25" s="10">
        <f>SUM(CC13:CC24)</f>
        <v>0</v>
      </c>
      <c r="CD25" s="10">
        <f t="shared" ref="CD25" si="140">SUM(CD14:CD24)</f>
        <v>0</v>
      </c>
      <c r="CE25" s="10">
        <f t="shared" si="136"/>
        <v>0</v>
      </c>
      <c r="CF25" s="10">
        <f t="shared" si="136"/>
        <v>0</v>
      </c>
      <c r="CG25" s="25">
        <f>SUM(CG14:CG24)</f>
        <v>794.70960322024155</v>
      </c>
      <c r="CH25" s="10">
        <f t="shared" ref="CH25" si="141">SUM(CH14:CH24)</f>
        <v>1169.5744680851064</v>
      </c>
      <c r="CI25" s="10">
        <f t="shared" ref="CI25:DD25" si="142">SUM(CI14:CI24)</f>
        <v>794.70960322024155</v>
      </c>
      <c r="CJ25" s="10">
        <f t="shared" si="142"/>
        <v>629.9843916865193</v>
      </c>
      <c r="CK25" s="10">
        <f t="shared" ref="CK25" si="143">SUM(CK14:CK24)</f>
        <v>1574.9609792162983</v>
      </c>
      <c r="CL25" s="10">
        <f t="shared" ref="CL25:CQ25" si="144">SUM(CL14:CL24)</f>
        <v>115.69867740080507</v>
      </c>
      <c r="CM25" s="10">
        <f t="shared" si="144"/>
        <v>0</v>
      </c>
      <c r="CN25" s="10">
        <f t="shared" si="144"/>
        <v>0</v>
      </c>
      <c r="CO25" s="10">
        <f t="shared" si="144"/>
        <v>0</v>
      </c>
      <c r="CP25" s="10">
        <f t="shared" si="144"/>
        <v>0</v>
      </c>
      <c r="CQ25" s="10">
        <f t="shared" si="144"/>
        <v>0</v>
      </c>
      <c r="CR25" s="10">
        <f t="shared" si="142"/>
        <v>238.41288096607246</v>
      </c>
      <c r="CS25" s="10">
        <f t="shared" si="142"/>
        <v>0</v>
      </c>
      <c r="CT25" s="10">
        <f t="shared" si="142"/>
        <v>0</v>
      </c>
      <c r="CU25" s="10">
        <f t="shared" si="142"/>
        <v>0</v>
      </c>
      <c r="CV25" s="10">
        <f t="shared" si="142"/>
        <v>0</v>
      </c>
      <c r="CW25" s="10">
        <f t="shared" si="142"/>
        <v>0</v>
      </c>
      <c r="CX25" s="10">
        <f t="shared" si="142"/>
        <v>397.35480161012077</v>
      </c>
      <c r="CY25" s="10">
        <f t="shared" si="142"/>
        <v>0</v>
      </c>
      <c r="CZ25" s="10">
        <f t="shared" si="142"/>
        <v>0</v>
      </c>
      <c r="DA25" s="10">
        <f t="shared" si="142"/>
        <v>0</v>
      </c>
      <c r="DB25" s="10">
        <f t="shared" ref="DB25" si="145">SUM(DB14:DB24)</f>
        <v>0</v>
      </c>
      <c r="DC25" s="10">
        <f t="shared" si="142"/>
        <v>0</v>
      </c>
      <c r="DD25" s="10">
        <f t="shared" si="142"/>
        <v>0</v>
      </c>
      <c r="DE25" s="25">
        <f>SUM(DE14:DE24)</f>
        <v>158.94192064404831</v>
      </c>
      <c r="DF25" s="10">
        <f t="shared" ref="DF25" si="146">SUM(DF14:DF24)</f>
        <v>233.91489361702128</v>
      </c>
      <c r="DG25" s="10">
        <f t="shared" ref="DG25:EB25" si="147">SUM(DG14:DG24)</f>
        <v>158.94192064404831</v>
      </c>
      <c r="DH25" s="10">
        <f t="shared" si="147"/>
        <v>125.99687833730385</v>
      </c>
      <c r="DI25" s="10">
        <f t="shared" ref="DI25" si="148">SUM(DI14:DI24)</f>
        <v>314.99219584325965</v>
      </c>
      <c r="DJ25" s="10">
        <f t="shared" ref="DJ25:DO25" si="149">SUM(DJ14:DJ24)</f>
        <v>23.139735480161015</v>
      </c>
      <c r="DK25" s="10">
        <f t="shared" si="149"/>
        <v>0</v>
      </c>
      <c r="DL25" s="10">
        <f t="shared" si="149"/>
        <v>0</v>
      </c>
      <c r="DM25" s="10">
        <f t="shared" si="149"/>
        <v>0</v>
      </c>
      <c r="DN25" s="10">
        <f t="shared" si="149"/>
        <v>0</v>
      </c>
      <c r="DO25" s="10">
        <f t="shared" si="149"/>
        <v>0</v>
      </c>
      <c r="DP25" s="10">
        <f t="shared" si="147"/>
        <v>47.682576193214494</v>
      </c>
      <c r="DQ25" s="10">
        <f t="shared" si="147"/>
        <v>0</v>
      </c>
      <c r="DR25" s="10">
        <f t="shared" si="147"/>
        <v>0</v>
      </c>
      <c r="DS25" s="10">
        <f t="shared" si="147"/>
        <v>0</v>
      </c>
      <c r="DT25" s="10">
        <f t="shared" si="147"/>
        <v>0</v>
      </c>
      <c r="DU25" s="10">
        <f t="shared" si="147"/>
        <v>0</v>
      </c>
      <c r="DV25" s="10">
        <f t="shared" si="147"/>
        <v>79.470960322024155</v>
      </c>
      <c r="DW25" s="10">
        <f t="shared" si="147"/>
        <v>0</v>
      </c>
      <c r="DX25" s="10">
        <f t="shared" si="147"/>
        <v>0</v>
      </c>
      <c r="DY25" s="10">
        <f t="shared" si="147"/>
        <v>0</v>
      </c>
      <c r="DZ25" s="10">
        <f t="shared" ref="DZ25" si="150">SUM(DZ14:DZ24)</f>
        <v>0</v>
      </c>
      <c r="EA25" s="10">
        <f t="shared" si="147"/>
        <v>0</v>
      </c>
      <c r="EB25" s="26">
        <f t="shared" si="147"/>
        <v>0</v>
      </c>
    </row>
    <row r="26" spans="1:132" x14ac:dyDescent="0.25">
      <c r="B26" s="13"/>
      <c r="C26" s="13"/>
      <c r="D26" s="13"/>
      <c r="E26" s="13"/>
      <c r="G26" s="13"/>
      <c r="L26" s="15"/>
      <c r="M26" s="31"/>
      <c r="N26" s="31"/>
      <c r="O26" s="31"/>
      <c r="P26" s="31"/>
      <c r="Q26" s="31"/>
      <c r="R26" s="31"/>
      <c r="S26" s="31"/>
      <c r="T26" s="31"/>
      <c r="U26" s="31"/>
      <c r="V26" s="31"/>
      <c r="W26" s="31"/>
      <c r="X26" s="31"/>
      <c r="AJ26" s="406"/>
      <c r="AK26" s="1"/>
      <c r="AL26" s="1"/>
      <c r="AM26" s="1"/>
      <c r="AN26" s="1"/>
      <c r="AO26" s="1"/>
      <c r="AP26" s="1"/>
      <c r="AQ26" s="1"/>
      <c r="AR26" s="1"/>
      <c r="AS26" s="1"/>
      <c r="AT26" s="1"/>
      <c r="AU26" s="1"/>
      <c r="AV26" s="1"/>
      <c r="AW26" s="1"/>
      <c r="AX26" s="1"/>
      <c r="AY26" s="1"/>
      <c r="AZ26" s="1"/>
      <c r="BA26" s="1"/>
      <c r="BB26" s="1"/>
      <c r="BC26" s="1"/>
      <c r="BD26" s="1"/>
      <c r="BE26" s="1"/>
      <c r="BF26" s="1"/>
      <c r="BG26" s="1"/>
      <c r="BH26" s="1"/>
      <c r="BI26" s="23"/>
      <c r="BJ26" s="1"/>
      <c r="BK26" s="1"/>
      <c r="BL26" s="1"/>
      <c r="BM26" s="1"/>
      <c r="BN26" s="1"/>
      <c r="BO26" s="1"/>
      <c r="BP26" s="1"/>
      <c r="BQ26" s="1"/>
      <c r="BR26" s="1"/>
      <c r="BS26" s="1"/>
      <c r="BT26" s="1"/>
      <c r="BU26" s="1"/>
      <c r="BV26" s="1"/>
      <c r="BW26" s="1"/>
      <c r="BX26" s="1"/>
      <c r="BY26" s="1"/>
      <c r="BZ26" s="1"/>
      <c r="CA26" s="1"/>
      <c r="CB26" s="1"/>
      <c r="CC26" s="1"/>
      <c r="CD26" s="1"/>
      <c r="CE26" s="1"/>
      <c r="CF26" s="1"/>
      <c r="CG26" s="23"/>
      <c r="CH26" s="1"/>
      <c r="CI26" s="1"/>
      <c r="CJ26" s="1"/>
      <c r="CK26" s="1"/>
      <c r="CL26" s="1"/>
      <c r="CM26" s="1"/>
      <c r="CN26" s="1"/>
      <c r="CO26" s="1"/>
      <c r="CP26" s="1"/>
      <c r="CQ26" s="1"/>
      <c r="CR26" s="1"/>
      <c r="CS26" s="1"/>
      <c r="CT26" s="1"/>
      <c r="CU26" s="1"/>
      <c r="CV26" s="1"/>
      <c r="CW26" s="1"/>
      <c r="CX26" s="1"/>
      <c r="CY26" s="1"/>
      <c r="CZ26" s="1"/>
      <c r="DA26" s="1"/>
      <c r="DB26" s="1"/>
      <c r="DC26" s="1"/>
      <c r="DD26" s="1"/>
      <c r="DE26" s="23"/>
      <c r="DF26" s="1"/>
      <c r="DG26" s="1"/>
      <c r="DH26" s="1"/>
      <c r="DI26" s="1"/>
      <c r="DJ26" s="1"/>
      <c r="DK26" s="1"/>
      <c r="DL26" s="1"/>
      <c r="DM26" s="1"/>
      <c r="DN26" s="1"/>
      <c r="DO26" s="1"/>
      <c r="DP26" s="1"/>
      <c r="DQ26" s="1"/>
      <c r="DR26" s="1"/>
      <c r="DS26" s="1"/>
      <c r="DT26" s="1"/>
      <c r="EB26" s="416"/>
    </row>
    <row r="27" spans="1:132" x14ac:dyDescent="0.25">
      <c r="B27" s="13"/>
      <c r="C27" s="13"/>
      <c r="D27" s="13"/>
      <c r="E27" s="13"/>
      <c r="G27" s="13"/>
      <c r="L27" s="17"/>
      <c r="AJ27" s="407"/>
      <c r="AK27" s="1"/>
      <c r="AL27" s="1"/>
      <c r="AM27" s="1"/>
      <c r="AN27" s="1"/>
      <c r="AO27" s="1"/>
      <c r="AP27" s="1"/>
      <c r="AQ27" s="1"/>
      <c r="AR27" s="1"/>
      <c r="AS27" s="1"/>
      <c r="AT27" s="1"/>
      <c r="AU27" s="1"/>
      <c r="AV27" s="1"/>
      <c r="AW27" s="1"/>
      <c r="AX27" s="1"/>
      <c r="AY27" s="1"/>
      <c r="AZ27" s="1"/>
      <c r="BA27" s="1"/>
      <c r="BB27" s="1"/>
      <c r="BC27" s="1"/>
      <c r="BD27" s="1"/>
      <c r="BE27" s="1"/>
      <c r="BF27" s="1"/>
      <c r="BG27" s="1"/>
      <c r="BH27" s="1"/>
      <c r="BI27" s="23"/>
      <c r="BJ27" s="1"/>
      <c r="BK27" s="1"/>
      <c r="BL27" s="1"/>
      <c r="BM27" s="1"/>
      <c r="BN27" s="1"/>
      <c r="BO27" s="1"/>
      <c r="BP27" s="1"/>
      <c r="BQ27" s="1"/>
      <c r="BR27" s="1"/>
      <c r="BS27" s="1"/>
      <c r="BT27" s="1"/>
      <c r="BU27" s="1"/>
      <c r="BV27" s="1"/>
      <c r="BW27" s="1"/>
      <c r="BX27" s="1"/>
      <c r="BY27" s="1"/>
      <c r="BZ27" s="1"/>
      <c r="CA27" s="1"/>
      <c r="CB27" s="1"/>
      <c r="CC27" s="1"/>
      <c r="CD27" s="1"/>
      <c r="CE27" s="1"/>
      <c r="CF27" s="1"/>
      <c r="CG27" s="23"/>
      <c r="CH27" s="1"/>
      <c r="CI27" s="1"/>
      <c r="CJ27" s="1"/>
      <c r="CK27" s="1"/>
      <c r="CL27" s="1"/>
      <c r="CM27" s="1"/>
      <c r="CN27" s="1"/>
      <c r="CO27" s="1"/>
      <c r="CP27" s="1"/>
      <c r="CQ27" s="1"/>
      <c r="CR27" s="1"/>
      <c r="CS27" s="1"/>
      <c r="CT27" s="1"/>
      <c r="CU27" s="1"/>
      <c r="CV27" s="1"/>
      <c r="CW27" s="1"/>
      <c r="CX27" s="1"/>
      <c r="CY27" s="1"/>
      <c r="CZ27" s="1"/>
      <c r="DA27" s="1"/>
      <c r="DB27" s="1"/>
      <c r="DC27" s="1"/>
      <c r="DD27" s="1"/>
      <c r="DE27" s="23"/>
      <c r="DF27" s="1"/>
      <c r="DG27" s="1"/>
      <c r="DH27" s="1"/>
      <c r="DI27" s="1"/>
      <c r="DJ27" s="1"/>
      <c r="DK27" s="1"/>
      <c r="DL27" s="1"/>
      <c r="DM27" s="1"/>
      <c r="DN27" s="1"/>
      <c r="DO27" s="1"/>
      <c r="DP27" s="1"/>
      <c r="DQ27" s="1"/>
      <c r="DR27" s="1"/>
      <c r="DS27" s="1"/>
      <c r="DT27" s="1"/>
      <c r="EB27" s="16"/>
    </row>
    <row r="28" spans="1:132" x14ac:dyDescent="0.25">
      <c r="C28" s="13"/>
      <c r="D28" s="13"/>
      <c r="E28" s="13"/>
      <c r="G28" s="13"/>
      <c r="L28" s="17"/>
      <c r="AJ28" s="407"/>
      <c r="AK28" s="1"/>
      <c r="AL28" s="1"/>
      <c r="AM28" s="1"/>
      <c r="AN28" s="1"/>
      <c r="AO28" s="1"/>
      <c r="AP28" s="1"/>
      <c r="AQ28" s="1"/>
      <c r="AR28" s="1"/>
      <c r="AS28" s="1"/>
      <c r="AT28" s="1"/>
      <c r="AU28" s="1"/>
      <c r="AV28" s="1"/>
      <c r="AW28" s="1"/>
      <c r="AX28" s="1"/>
      <c r="AY28" s="1"/>
      <c r="AZ28" s="1"/>
      <c r="BA28" s="1"/>
      <c r="BB28" s="1"/>
      <c r="BC28" s="1"/>
      <c r="BD28" s="1"/>
      <c r="BE28" s="1"/>
      <c r="BF28" s="1"/>
      <c r="BG28" s="1"/>
      <c r="BH28" s="1"/>
      <c r="BI28" s="23"/>
      <c r="BJ28" s="1"/>
      <c r="BK28" s="1"/>
      <c r="BL28" s="1"/>
      <c r="BM28" s="1"/>
      <c r="BN28" s="1"/>
      <c r="BO28" s="1"/>
      <c r="BP28" s="1"/>
      <c r="BQ28" s="1"/>
      <c r="BR28" s="1"/>
      <c r="BS28" s="1"/>
      <c r="BT28" s="1"/>
      <c r="BU28" s="1"/>
      <c r="BV28" s="1"/>
      <c r="BW28" s="1"/>
      <c r="BX28" s="1"/>
      <c r="BY28" s="1"/>
      <c r="BZ28" s="1"/>
      <c r="CA28" s="1"/>
      <c r="CB28" s="1"/>
      <c r="CC28" s="1"/>
      <c r="CD28" s="1"/>
      <c r="CE28" s="1"/>
      <c r="CF28" s="1"/>
      <c r="CG28" s="23"/>
      <c r="CH28" s="1"/>
      <c r="CI28" s="1"/>
      <c r="CJ28" s="1"/>
      <c r="CK28" s="1"/>
      <c r="CL28" s="1"/>
      <c r="CM28" s="1"/>
      <c r="CN28" s="1"/>
      <c r="CO28" s="1"/>
      <c r="CP28" s="1"/>
      <c r="CQ28" s="1"/>
      <c r="CR28" s="1"/>
      <c r="CS28" s="1"/>
      <c r="CT28" s="1"/>
      <c r="CU28" s="1"/>
      <c r="CV28" s="1"/>
      <c r="CW28" s="1"/>
      <c r="CX28" s="1"/>
      <c r="CY28" s="1"/>
      <c r="CZ28" s="1"/>
      <c r="DA28" s="1"/>
      <c r="DB28" s="1"/>
      <c r="DC28" s="1"/>
      <c r="DD28" s="1"/>
      <c r="DE28" s="23"/>
      <c r="DF28" s="1"/>
      <c r="DG28" s="1"/>
      <c r="DH28" s="1"/>
      <c r="DI28" s="1"/>
      <c r="DJ28" s="1"/>
      <c r="DK28" s="1"/>
      <c r="DL28" s="1"/>
      <c r="DM28" s="1"/>
      <c r="DN28" s="1"/>
      <c r="DO28" s="1"/>
      <c r="DP28" s="1"/>
      <c r="DQ28" s="1"/>
      <c r="DR28" s="1"/>
      <c r="DS28" s="1"/>
      <c r="DT28" s="1"/>
      <c r="EB28" s="16"/>
    </row>
    <row r="29" spans="1:132" x14ac:dyDescent="0.25">
      <c r="L29" s="17"/>
      <c r="AJ29" s="407"/>
      <c r="AK29" s="1"/>
      <c r="AL29" s="1"/>
      <c r="AM29" s="1"/>
      <c r="AN29" s="1"/>
      <c r="AO29" s="1"/>
      <c r="AP29" s="1"/>
      <c r="AQ29" s="1"/>
      <c r="AR29" s="1"/>
      <c r="AS29" s="1"/>
      <c r="AT29" s="1"/>
      <c r="AU29" s="1"/>
      <c r="AV29" s="1"/>
      <c r="AW29" s="1"/>
      <c r="AX29" s="1"/>
      <c r="AY29" s="1"/>
      <c r="AZ29" s="1"/>
      <c r="BA29" s="1"/>
      <c r="BB29" s="1"/>
      <c r="BC29" s="1"/>
      <c r="BD29" s="1"/>
      <c r="BE29" s="1"/>
      <c r="BF29" s="1"/>
      <c r="BG29" s="1"/>
      <c r="BH29" s="1"/>
      <c r="BI29" s="23"/>
      <c r="BJ29" s="1"/>
      <c r="BK29" s="1"/>
      <c r="BL29" s="1"/>
      <c r="BM29" s="1"/>
      <c r="BN29" s="1"/>
      <c r="BO29" s="1"/>
      <c r="BP29" s="1"/>
      <c r="BQ29" s="1"/>
      <c r="BR29" s="1"/>
      <c r="BS29" s="1"/>
      <c r="BT29" s="1"/>
      <c r="BU29" s="1"/>
      <c r="BV29" s="1"/>
      <c r="BW29" s="1"/>
      <c r="BX29" s="1"/>
      <c r="BY29" s="1"/>
      <c r="BZ29" s="1"/>
      <c r="CA29" s="1"/>
      <c r="CB29" s="1"/>
      <c r="CC29" s="1"/>
      <c r="CD29" s="1"/>
      <c r="CE29" s="1"/>
      <c r="CF29" s="1"/>
      <c r="CG29" s="23"/>
      <c r="CH29" s="1"/>
      <c r="CI29" s="1"/>
      <c r="CJ29" s="1"/>
      <c r="CK29" s="1"/>
      <c r="CL29" s="1"/>
      <c r="CM29" s="1"/>
      <c r="CN29" s="1"/>
      <c r="CO29" s="1"/>
      <c r="CP29" s="1"/>
      <c r="CQ29" s="1"/>
      <c r="CR29" s="1"/>
      <c r="CS29" s="1"/>
      <c r="CT29" s="1"/>
      <c r="CU29" s="1"/>
      <c r="CV29" s="1"/>
      <c r="CW29" s="1"/>
      <c r="CX29" s="1"/>
      <c r="CY29" s="1"/>
      <c r="CZ29" s="1"/>
      <c r="DA29" s="1"/>
      <c r="DB29" s="1"/>
      <c r="DC29" s="1"/>
      <c r="DD29" s="1"/>
      <c r="DE29" s="23"/>
      <c r="DF29" s="1"/>
      <c r="DG29" s="1"/>
      <c r="DH29" s="1"/>
      <c r="DI29" s="1"/>
      <c r="DJ29" s="1"/>
      <c r="DK29" s="1"/>
      <c r="DL29" s="1"/>
      <c r="DM29" s="1"/>
      <c r="DN29" s="1"/>
      <c r="DO29" s="1"/>
      <c r="DP29" s="1"/>
      <c r="DQ29" s="1"/>
      <c r="DR29" s="1"/>
      <c r="DS29" s="1"/>
      <c r="DT29" s="1"/>
      <c r="EB29" s="16"/>
    </row>
    <row r="30" spans="1:132" ht="13.8" thickBot="1" x14ac:dyDescent="0.3">
      <c r="A30" s="4" t="s">
        <v>83</v>
      </c>
      <c r="C30" s="30"/>
      <c r="H30" s="419"/>
      <c r="J30" s="419"/>
      <c r="K30" s="420"/>
      <c r="L30" s="17"/>
      <c r="AJ30" s="407"/>
      <c r="AK30" s="1"/>
      <c r="AL30" s="1"/>
      <c r="AM30" s="1"/>
      <c r="AN30" s="1"/>
      <c r="AO30" s="1"/>
      <c r="AP30" s="1"/>
      <c r="AQ30" s="1"/>
      <c r="AR30" s="1"/>
      <c r="AS30" s="1"/>
      <c r="AT30" s="1"/>
      <c r="AU30" s="1"/>
      <c r="AV30" s="1"/>
      <c r="AW30" s="1"/>
      <c r="AX30" s="1"/>
      <c r="AY30" s="1"/>
      <c r="AZ30" s="1"/>
      <c r="BA30" s="1"/>
      <c r="BB30" s="1"/>
      <c r="BC30" s="1"/>
      <c r="BD30" s="1"/>
      <c r="BE30" s="1"/>
      <c r="BF30" s="1"/>
      <c r="BG30" s="1"/>
      <c r="BH30" s="1"/>
      <c r="BI30" s="23"/>
      <c r="BJ30" s="1"/>
      <c r="BK30" s="1"/>
      <c r="BL30" s="1"/>
      <c r="BM30" s="1"/>
      <c r="BN30" s="1"/>
      <c r="BO30" s="1"/>
      <c r="BP30" s="1"/>
      <c r="BQ30" s="1"/>
      <c r="BR30" s="1"/>
      <c r="BS30" s="1"/>
      <c r="BT30" s="1"/>
      <c r="BU30" s="1"/>
      <c r="BV30" s="1"/>
      <c r="BW30" s="1"/>
      <c r="BX30" s="1"/>
      <c r="BY30" s="1"/>
      <c r="BZ30" s="1"/>
      <c r="CA30" s="1"/>
      <c r="CB30" s="1"/>
      <c r="CC30" s="1"/>
      <c r="CD30" s="1"/>
      <c r="CE30" s="1"/>
      <c r="CF30" s="1"/>
      <c r="CG30" s="23"/>
      <c r="CH30" s="1"/>
      <c r="CI30" s="1"/>
      <c r="CJ30" s="1"/>
      <c r="CK30" s="1"/>
      <c r="CL30" s="1"/>
      <c r="CM30" s="1"/>
      <c r="CN30" s="1"/>
      <c r="CO30" s="1"/>
      <c r="CP30" s="1"/>
      <c r="CQ30" s="1"/>
      <c r="CR30" s="1"/>
      <c r="CS30" s="1"/>
      <c r="CT30" s="1"/>
      <c r="CU30" s="1"/>
      <c r="CV30" s="1"/>
      <c r="CW30" s="1"/>
      <c r="CX30" s="1"/>
      <c r="CY30" s="1"/>
      <c r="CZ30" s="1"/>
      <c r="DA30" s="1"/>
      <c r="DB30" s="1"/>
      <c r="DC30" s="1"/>
      <c r="DD30" s="1"/>
      <c r="DE30" s="23"/>
      <c r="DF30" s="1"/>
      <c r="DG30" s="1"/>
      <c r="DH30" s="1"/>
      <c r="DI30" s="1"/>
      <c r="DJ30" s="1"/>
      <c r="DK30" s="1"/>
      <c r="DL30" s="1"/>
      <c r="DM30" s="1"/>
      <c r="DN30" s="1"/>
      <c r="DO30" s="1"/>
      <c r="DP30" s="1"/>
      <c r="DQ30" s="1"/>
      <c r="DR30" s="1"/>
      <c r="DS30" s="1"/>
      <c r="DT30" s="1"/>
      <c r="EB30" s="16"/>
    </row>
    <row r="31" spans="1:132" ht="13.8" thickBot="1" x14ac:dyDescent="0.3">
      <c r="A31" s="4"/>
      <c r="B31" s="13" t="str">
        <f>'Gårdens info'!C86</f>
        <v>traktor 60 hk</v>
      </c>
      <c r="C31" s="33"/>
      <c r="D31" s="13"/>
      <c r="E31" s="33">
        <v>2022</v>
      </c>
      <c r="G31" s="13"/>
      <c r="H31" s="417">
        <v>15</v>
      </c>
      <c r="I31">
        <f>'Gårdens info'!D86</f>
        <v>35000</v>
      </c>
      <c r="J31" s="417">
        <f>C31*0.1</f>
        <v>0</v>
      </c>
      <c r="K31" s="418">
        <v>0.03</v>
      </c>
      <c r="L31"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1"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1"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1"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1"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1"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1"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1"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1"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1"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1"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1"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1"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1"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1"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1"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1"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1"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1"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1"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1"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1"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1"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1"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1" s="411">
        <f>+SUM(L31:AI31)</f>
        <v>1</v>
      </c>
      <c r="AK31" s="1">
        <f t="shared" ref="AK31:BH31" si="151">IF((($C$7-$E31)&lt;=$H31),(($I31-$J31)/$H31*L31),0)</f>
        <v>496.45390070921991</v>
      </c>
      <c r="AL31" s="1">
        <f t="shared" si="151"/>
        <v>496.45390070921991</v>
      </c>
      <c r="AM31" s="1">
        <f t="shared" si="151"/>
        <v>496.45390070921991</v>
      </c>
      <c r="AN31" s="1">
        <f t="shared" si="151"/>
        <v>99.290780141843982</v>
      </c>
      <c r="AO31" s="1">
        <f t="shared" si="151"/>
        <v>248.22695035460995</v>
      </c>
      <c r="AP31" s="1">
        <f t="shared" si="151"/>
        <v>99.290780141843982</v>
      </c>
      <c r="AQ31" s="1">
        <f t="shared" si="151"/>
        <v>0</v>
      </c>
      <c r="AR31" s="1">
        <f t="shared" si="151"/>
        <v>0</v>
      </c>
      <c r="AS31" s="1">
        <f t="shared" si="151"/>
        <v>0</v>
      </c>
      <c r="AT31" s="1">
        <f t="shared" si="151"/>
        <v>0</v>
      </c>
      <c r="AU31" s="1">
        <f t="shared" si="151"/>
        <v>0</v>
      </c>
      <c r="AV31" s="1">
        <f t="shared" si="151"/>
        <v>148.93617021276594</v>
      </c>
      <c r="AW31" s="1">
        <f t="shared" si="151"/>
        <v>0</v>
      </c>
      <c r="AX31" s="1">
        <f t="shared" si="151"/>
        <v>0</v>
      </c>
      <c r="AY31" s="1">
        <f t="shared" si="151"/>
        <v>0</v>
      </c>
      <c r="AZ31" s="1">
        <f t="shared" si="151"/>
        <v>0</v>
      </c>
      <c r="BA31" s="1">
        <f t="shared" si="151"/>
        <v>0</v>
      </c>
      <c r="BB31" s="1">
        <f t="shared" si="151"/>
        <v>248.22695035460995</v>
      </c>
      <c r="BC31" s="1">
        <f t="shared" si="151"/>
        <v>0</v>
      </c>
      <c r="BD31" s="1">
        <f t="shared" si="151"/>
        <v>0</v>
      </c>
      <c r="BE31" s="1">
        <f t="shared" si="151"/>
        <v>0</v>
      </c>
      <c r="BF31" s="1">
        <f t="shared" si="151"/>
        <v>0</v>
      </c>
      <c r="BG31" s="1">
        <f t="shared" si="151"/>
        <v>0</v>
      </c>
      <c r="BH31" s="1">
        <f t="shared" si="151"/>
        <v>0</v>
      </c>
      <c r="BI31" s="23">
        <f t="shared" ref="BI31:CF31" si="152">IF(($C$7-$E31&lt;=$H31),(($I31+$J31)/2*$C$8*L31),0)</f>
        <v>186.17021276595744</v>
      </c>
      <c r="BJ31" s="1">
        <f t="shared" si="152"/>
        <v>186.17021276595744</v>
      </c>
      <c r="BK31" s="1">
        <f t="shared" si="152"/>
        <v>186.17021276595744</v>
      </c>
      <c r="BL31" s="1">
        <f t="shared" si="152"/>
        <v>37.234042553191486</v>
      </c>
      <c r="BM31" s="1">
        <f t="shared" si="152"/>
        <v>93.085106382978722</v>
      </c>
      <c r="BN31" s="1">
        <f t="shared" si="152"/>
        <v>37.234042553191486</v>
      </c>
      <c r="BO31" s="1">
        <f t="shared" si="152"/>
        <v>0</v>
      </c>
      <c r="BP31" s="1">
        <f t="shared" si="152"/>
        <v>0</v>
      </c>
      <c r="BQ31" s="1">
        <f t="shared" si="152"/>
        <v>0</v>
      </c>
      <c r="BR31" s="1">
        <f t="shared" si="152"/>
        <v>0</v>
      </c>
      <c r="BS31" s="1">
        <f t="shared" si="152"/>
        <v>0</v>
      </c>
      <c r="BT31" s="1">
        <f t="shared" si="152"/>
        <v>55.851063829787229</v>
      </c>
      <c r="BU31" s="1">
        <f t="shared" si="152"/>
        <v>0</v>
      </c>
      <c r="BV31" s="1">
        <f t="shared" si="152"/>
        <v>0</v>
      </c>
      <c r="BW31" s="1">
        <f t="shared" si="152"/>
        <v>0</v>
      </c>
      <c r="BX31" s="1">
        <f t="shared" si="152"/>
        <v>0</v>
      </c>
      <c r="BY31" s="1">
        <f t="shared" si="152"/>
        <v>0</v>
      </c>
      <c r="BZ31" s="1">
        <f t="shared" si="152"/>
        <v>93.085106382978722</v>
      </c>
      <c r="CA31" s="1">
        <f t="shared" si="152"/>
        <v>0</v>
      </c>
      <c r="CB31" s="1">
        <f t="shared" si="152"/>
        <v>0</v>
      </c>
      <c r="CC31" s="1">
        <f t="shared" si="152"/>
        <v>0</v>
      </c>
      <c r="CD31" s="1">
        <f t="shared" si="152"/>
        <v>0</v>
      </c>
      <c r="CE31" s="1">
        <f t="shared" si="152"/>
        <v>0</v>
      </c>
      <c r="CF31" s="1">
        <f t="shared" si="152"/>
        <v>0</v>
      </c>
      <c r="CG31" s="23">
        <f t="shared" ref="CG31:DD31" si="153">$I31*$K31*L31</f>
        <v>223.40425531914894</v>
      </c>
      <c r="CH31" s="1">
        <f t="shared" si="153"/>
        <v>223.40425531914894</v>
      </c>
      <c r="CI31" s="1">
        <f t="shared" si="153"/>
        <v>223.40425531914894</v>
      </c>
      <c r="CJ31" s="1">
        <f t="shared" si="153"/>
        <v>44.680851063829785</v>
      </c>
      <c r="CK31" s="1">
        <f t="shared" si="153"/>
        <v>111.70212765957447</v>
      </c>
      <c r="CL31" s="1">
        <f t="shared" si="153"/>
        <v>44.680851063829785</v>
      </c>
      <c r="CM31" s="1">
        <f t="shared" si="153"/>
        <v>0</v>
      </c>
      <c r="CN31" s="1">
        <f t="shared" si="153"/>
        <v>0</v>
      </c>
      <c r="CO31" s="1">
        <f t="shared" si="153"/>
        <v>0</v>
      </c>
      <c r="CP31" s="1">
        <f t="shared" si="153"/>
        <v>0</v>
      </c>
      <c r="CQ31" s="1">
        <f t="shared" si="153"/>
        <v>0</v>
      </c>
      <c r="CR31" s="1">
        <f t="shared" si="153"/>
        <v>67.021276595744681</v>
      </c>
      <c r="CS31" s="1">
        <f t="shared" si="153"/>
        <v>0</v>
      </c>
      <c r="CT31" s="1">
        <f t="shared" si="153"/>
        <v>0</v>
      </c>
      <c r="CU31" s="1">
        <f t="shared" si="153"/>
        <v>0</v>
      </c>
      <c r="CV31" s="1">
        <f t="shared" si="153"/>
        <v>0</v>
      </c>
      <c r="CW31" s="1">
        <f t="shared" si="153"/>
        <v>0</v>
      </c>
      <c r="CX31" s="1">
        <f t="shared" si="153"/>
        <v>111.70212765957447</v>
      </c>
      <c r="CY31" s="1">
        <f t="shared" si="153"/>
        <v>0</v>
      </c>
      <c r="CZ31" s="1">
        <f t="shared" si="153"/>
        <v>0</v>
      </c>
      <c r="DA31" s="1">
        <f t="shared" si="153"/>
        <v>0</v>
      </c>
      <c r="DB31" s="1">
        <f t="shared" si="153"/>
        <v>0</v>
      </c>
      <c r="DC31" s="1">
        <f t="shared" si="153"/>
        <v>0</v>
      </c>
      <c r="DD31" s="1">
        <f t="shared" si="153"/>
        <v>0</v>
      </c>
      <c r="DE31" s="23">
        <f t="shared" ref="DE31:EB31" si="154">$I31*$C$9*L31</f>
        <v>14.893617021276595</v>
      </c>
      <c r="DF31" s="1">
        <f t="shared" si="154"/>
        <v>14.893617021276595</v>
      </c>
      <c r="DG31" s="1">
        <f t="shared" si="154"/>
        <v>14.893617021276595</v>
      </c>
      <c r="DH31" s="1">
        <f t="shared" si="154"/>
        <v>2.978723404255319</v>
      </c>
      <c r="DI31" s="1">
        <f t="shared" si="154"/>
        <v>7.4468085106382977</v>
      </c>
      <c r="DJ31" s="1">
        <f t="shared" si="154"/>
        <v>2.978723404255319</v>
      </c>
      <c r="DK31" s="1">
        <f t="shared" si="154"/>
        <v>0</v>
      </c>
      <c r="DL31" s="1">
        <f t="shared" si="154"/>
        <v>0</v>
      </c>
      <c r="DM31" s="1">
        <f t="shared" si="154"/>
        <v>0</v>
      </c>
      <c r="DN31" s="1">
        <f t="shared" si="154"/>
        <v>0</v>
      </c>
      <c r="DO31" s="1">
        <f t="shared" si="154"/>
        <v>0</v>
      </c>
      <c r="DP31" s="1">
        <f t="shared" si="154"/>
        <v>4.4680851063829783</v>
      </c>
      <c r="DQ31" s="1">
        <f t="shared" si="154"/>
        <v>0</v>
      </c>
      <c r="DR31" s="1">
        <f t="shared" si="154"/>
        <v>0</v>
      </c>
      <c r="DS31" s="1">
        <f t="shared" si="154"/>
        <v>0</v>
      </c>
      <c r="DT31" s="1">
        <f t="shared" si="154"/>
        <v>0</v>
      </c>
      <c r="DU31" s="1">
        <f t="shared" si="154"/>
        <v>0</v>
      </c>
      <c r="DV31" s="1">
        <f t="shared" si="154"/>
        <v>7.4468085106382977</v>
      </c>
      <c r="DW31" s="1">
        <f t="shared" si="154"/>
        <v>0</v>
      </c>
      <c r="DX31" s="1">
        <f t="shared" si="154"/>
        <v>0</v>
      </c>
      <c r="DY31" s="1">
        <f t="shared" si="154"/>
        <v>0</v>
      </c>
      <c r="DZ31" s="1">
        <f t="shared" si="154"/>
        <v>0</v>
      </c>
      <c r="EA31" s="1">
        <f t="shared" si="154"/>
        <v>0</v>
      </c>
      <c r="EB31" s="24">
        <f t="shared" si="154"/>
        <v>0</v>
      </c>
    </row>
    <row r="32" spans="1:132" ht="13.8" thickBot="1" x14ac:dyDescent="0.3">
      <c r="B32" s="13" t="str">
        <f>'Gårdens info'!C87</f>
        <v>traktor 100 hk</v>
      </c>
      <c r="C32" s="33"/>
      <c r="D32" s="13"/>
      <c r="E32" s="33">
        <f>'Gårdens info'!J87</f>
        <v>2024</v>
      </c>
      <c r="G32" s="13"/>
      <c r="H32" s="417">
        <v>15</v>
      </c>
      <c r="I32">
        <f>'Gårdens info'!D87</f>
        <v>45000</v>
      </c>
      <c r="J32" s="417">
        <f t="shared" ref="J32:J60" si="155">C32*0.1</f>
        <v>0</v>
      </c>
      <c r="K32" s="418">
        <v>0.03</v>
      </c>
      <c r="L32"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2"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2"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2"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2"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2"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2"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2"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2"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2"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2"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2"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2"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2"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2"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2"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2"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2"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2"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2"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2"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2"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2"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2"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2" s="411">
        <f t="shared" ref="AJ32:AJ60" si="156">+SUM(L32:AI32)</f>
        <v>1</v>
      </c>
      <c r="AK32" s="1">
        <f t="shared" ref="AK32:AK60" si="157">IF((($C$7-$E32)&lt;=$H32),(($I32-$J32)/$H32*L32),0)</f>
        <v>638.29787234042556</v>
      </c>
      <c r="AL32" s="1">
        <f t="shared" ref="AL32:AM35" si="158">IF((($C$7-$E32)&lt;=$H32),(($I32-$J32)/$H32*M32),0)</f>
        <v>638.29787234042556</v>
      </c>
      <c r="AM32" s="1">
        <f t="shared" si="158"/>
        <v>638.29787234042556</v>
      </c>
      <c r="AN32" s="1">
        <f t="shared" ref="AN32:AO60" si="159">IF((($C$7-$E32)&lt;=$H32),(($I32-$J32)/$H32*O32),0)</f>
        <v>127.6595744680851</v>
      </c>
      <c r="AO32" s="1">
        <f t="shared" si="159"/>
        <v>319.14893617021278</v>
      </c>
      <c r="AP32" s="1">
        <f t="shared" ref="AP32:AP60" si="160">IF((($C$7-$E32)&lt;=$H32),(($I32-$J32)/$H32*Q32),0)</f>
        <v>127.6595744680851</v>
      </c>
      <c r="AQ32" s="1">
        <f t="shared" ref="AQ32:AQ50" si="161">IF((($C$7-$E32)&lt;=$H32),(($I32-$J32)/$H32*R32),0)</f>
        <v>0</v>
      </c>
      <c r="AR32" s="1">
        <f t="shared" ref="AR32:AR50" si="162">IF((($C$7-$E32)&lt;=$H32),(($I32-$J32)/$H32*S32),0)</f>
        <v>0</v>
      </c>
      <c r="AS32" s="1">
        <f t="shared" ref="AS32:AS50" si="163">IF((($C$7-$E32)&lt;=$H32),(($I32-$J32)/$H32*T32),0)</f>
        <v>0</v>
      </c>
      <c r="AT32" s="1">
        <f t="shared" ref="AT32:AT50" si="164">IF((($C$7-$E32)&lt;=$H32),(($I32-$J32)/$H32*U32),0)</f>
        <v>0</v>
      </c>
      <c r="AU32" s="1">
        <f t="shared" ref="AU32:AU50" si="165">IF((($C$7-$E32)&lt;=$H32),(($I32-$J32)/$H32*V32),0)</f>
        <v>0</v>
      </c>
      <c r="AV32" s="1">
        <f t="shared" ref="AV32:AV60" si="166">IF((($C$7-$E32)&lt;=$H32),(($I32-$J32)/$H32*W32),0)</f>
        <v>191.48936170212764</v>
      </c>
      <c r="AW32" s="1">
        <f t="shared" ref="AW32:AW60" si="167">IF((($C$7-$E32)&lt;=$H32),(($I32-$J32)/$H32*X32),0)</f>
        <v>0</v>
      </c>
      <c r="AX32" s="1">
        <f t="shared" ref="AX32:AX60" si="168">IF((($C$7-$E32)&lt;=$H32),(($I32-$J32)/$H32*Y32),0)</f>
        <v>0</v>
      </c>
      <c r="AY32" s="1">
        <f t="shared" ref="AY32:AY60" si="169">IF((($C$7-$E32)&lt;=$H32),(($I32-$J32)/$H32*Z32),0)</f>
        <v>0</v>
      </c>
      <c r="AZ32" s="1">
        <f t="shared" ref="AZ32:AZ60" si="170">IF((($C$7-$E32)&lt;=$H32),(($I32-$J32)/$H32*AA32),0)</f>
        <v>0</v>
      </c>
      <c r="BA32" s="1">
        <f t="shared" ref="BA32:BA60" si="171">IF((($C$7-$E32)&lt;=$H32),(($I32-$J32)/$H32*AB32),0)</f>
        <v>0</v>
      </c>
      <c r="BB32" s="1">
        <f t="shared" ref="BB32:BB60" si="172">IF((($C$7-$E32)&lt;=$H32),(($I32-$J32)/$H32*AC32),0)</f>
        <v>319.14893617021278</v>
      </c>
      <c r="BC32" s="1">
        <f t="shared" ref="BC32:BC60" si="173">IF((($C$7-$E32)&lt;=$H32),(($I32-$J32)/$H32*AD32),0)</f>
        <v>0</v>
      </c>
      <c r="BD32" s="1">
        <f t="shared" ref="BD32:BD60" si="174">IF((($C$7-$E32)&lt;=$H32),(($I32-$J32)/$H32*AE32),0)</f>
        <v>0</v>
      </c>
      <c r="BE32" s="1">
        <f t="shared" ref="BE32:BE60" si="175">IF((($C$7-$E32)&lt;=$H32),(($I32-$J32)/$H32*AF32),0)</f>
        <v>0</v>
      </c>
      <c r="BF32" s="1">
        <f t="shared" ref="BF32:BF60" si="176">IF((($C$7-$E32)&lt;=$H32),(($I32-$J32)/$H32*AG32),0)</f>
        <v>0</v>
      </c>
      <c r="BG32" s="1">
        <f t="shared" ref="BG32:BG60" si="177">IF((($C$7-$E32)&lt;=$H32),(($I32-$J32)/$H32*AH32),0)</f>
        <v>0</v>
      </c>
      <c r="BH32" s="1">
        <f t="shared" ref="BH32:BH60" si="178">IF((($C$7-$E32)&lt;=$H32),(($I32-$J32)/$H32*AI32),0)</f>
        <v>0</v>
      </c>
      <c r="BI32" s="23">
        <f t="shared" ref="BI32:BI60" si="179">IF(($C$7-$E32&lt;=$H32),(($I32+$J32)/2*$C$8*L32),0)</f>
        <v>239.36170212765958</v>
      </c>
      <c r="BJ32" s="1">
        <f t="shared" ref="BJ32:BK35" si="180">IF(($C$7-$E32&lt;=$H32),(($I32+$J32)/2*$C$8*M32),0)</f>
        <v>239.36170212765958</v>
      </c>
      <c r="BK32" s="1">
        <f t="shared" si="180"/>
        <v>239.36170212765958</v>
      </c>
      <c r="BL32" s="1">
        <f t="shared" ref="BL32:BM60" si="181">IF(($C$7-$E32&lt;=$H32),(($I32+$J32)/2*$C$8*O32),0)</f>
        <v>47.872340425531917</v>
      </c>
      <c r="BM32" s="1">
        <f t="shared" si="181"/>
        <v>119.68085106382979</v>
      </c>
      <c r="BN32" s="1">
        <f t="shared" ref="BN32:BN60" si="182">IF(($C$7-$E32&lt;=$H32),(($I32+$J32)/2*$C$8*Q32),0)</f>
        <v>47.872340425531917</v>
      </c>
      <c r="BO32" s="1">
        <f t="shared" ref="BO32:BO51" si="183">IF(($C$7-$E32&lt;=$H32),(($I32+$J32)/2*$C$8*R32),0)</f>
        <v>0</v>
      </c>
      <c r="BP32" s="1">
        <f t="shared" ref="BP32:BP51" si="184">IF(($C$7-$E32&lt;=$H32),(($I32+$J32)/2*$C$8*S32),0)</f>
        <v>0</v>
      </c>
      <c r="BQ32" s="1">
        <f t="shared" ref="BQ32:BQ51" si="185">IF(($C$7-$E32&lt;=$H32),(($I32+$J32)/2*$C$8*T32),0)</f>
        <v>0</v>
      </c>
      <c r="BR32" s="1">
        <f t="shared" ref="BR32:BR51" si="186">IF(($C$7-$E32&lt;=$H32),(($I32+$J32)/2*$C$8*U32),0)</f>
        <v>0</v>
      </c>
      <c r="BS32" s="1">
        <f t="shared" ref="BS32:BS51" si="187">IF(($C$7-$E32&lt;=$H32),(($I32+$J32)/2*$C$8*V32),0)</f>
        <v>0</v>
      </c>
      <c r="BT32" s="1">
        <f t="shared" ref="BT32:BT60" si="188">IF(($C$7-$E32&lt;=$H32),(($I32+$J32)/2*$C$8*W32),0)</f>
        <v>71.808510638297861</v>
      </c>
      <c r="BU32" s="1">
        <f t="shared" ref="BU32:BU60" si="189">IF(($C$7-$E32&lt;=$H32),(($I32+$J32)/2*$C$8*X32),0)</f>
        <v>0</v>
      </c>
      <c r="BV32" s="1">
        <f t="shared" ref="BV32:BV60" si="190">IF(($C$7-$E32&lt;=$H32),(($I32+$J32)/2*$C$8*Y32),0)</f>
        <v>0</v>
      </c>
      <c r="BW32" s="1">
        <f t="shared" ref="BW32:BW60" si="191">IF(($C$7-$E32&lt;=$H32),(($I32+$J32)/2*$C$8*Z32),0)</f>
        <v>0</v>
      </c>
      <c r="BX32" s="1">
        <f t="shared" ref="BX32:BX60" si="192">IF(($C$7-$E32&lt;=$H32),(($I32+$J32)/2*$C$8*AA32),0)</f>
        <v>0</v>
      </c>
      <c r="BY32" s="1">
        <f t="shared" ref="BY32:BY60" si="193">IF(($C$7-$E32&lt;=$H32),(($I32+$J32)/2*$C$8*AB32),0)</f>
        <v>0</v>
      </c>
      <c r="BZ32" s="1">
        <f t="shared" ref="BZ32:BZ60" si="194">IF(($C$7-$E32&lt;=$H32),(($I32+$J32)/2*$C$8*AC32),0)</f>
        <v>119.68085106382979</v>
      </c>
      <c r="CA32" s="1">
        <f t="shared" ref="CA32:CA60" si="195">IF(($C$7-$E32&lt;=$H32),(($I32+$J32)/2*$C$8*AD32),0)</f>
        <v>0</v>
      </c>
      <c r="CB32" s="1">
        <f t="shared" ref="CB32:CB60" si="196">IF(($C$7-$E32&lt;=$H32),(($I32+$J32)/2*$C$8*AE32),0)</f>
        <v>0</v>
      </c>
      <c r="CC32" s="1">
        <f t="shared" ref="CC32:CC60" si="197">IF(($C$7-$E32&lt;=$H32),(($I32+$J32)/2*$C$8*AF32),0)</f>
        <v>0</v>
      </c>
      <c r="CD32" s="1">
        <f t="shared" ref="CD32:CD60" si="198">IF(($C$7-$E32&lt;=$H32),(($I32+$J32)/2*$C$8*AG32),0)</f>
        <v>0</v>
      </c>
      <c r="CE32" s="1">
        <f t="shared" ref="CE32:CE60" si="199">IF(($C$7-$E32&lt;=$H32),(($I32+$J32)/2*$C$8*AH32),0)</f>
        <v>0</v>
      </c>
      <c r="CF32" s="1">
        <f t="shared" ref="CF32:CF60" si="200">IF(($C$7-$E32&lt;=$H32),(($I32+$J32)/2*$C$8*AI32),0)</f>
        <v>0</v>
      </c>
      <c r="CG32" s="23">
        <f t="shared" ref="CG32:CG60" si="201">$I32*$K32*L32</f>
        <v>287.2340425531915</v>
      </c>
      <c r="CH32" s="1">
        <f t="shared" ref="CH32:CI35" si="202">$I32*$K32*M32</f>
        <v>287.2340425531915</v>
      </c>
      <c r="CI32" s="1">
        <f t="shared" si="202"/>
        <v>287.2340425531915</v>
      </c>
      <c r="CJ32" s="1">
        <f t="shared" ref="CJ32:CK60" si="203">$I32*$K32*O32</f>
        <v>57.446808510638299</v>
      </c>
      <c r="CK32" s="1">
        <f t="shared" si="203"/>
        <v>143.61702127659575</v>
      </c>
      <c r="CL32" s="1">
        <f t="shared" ref="CL32:CL60" si="204">$I32*$K32*Q32</f>
        <v>57.446808510638299</v>
      </c>
      <c r="CM32" s="1">
        <f t="shared" ref="CM32:CM51" si="205">$I32*$K32*R32</f>
        <v>0</v>
      </c>
      <c r="CN32" s="1">
        <f t="shared" ref="CN32:CN51" si="206">$I32*$K32*S32</f>
        <v>0</v>
      </c>
      <c r="CO32" s="1">
        <f t="shared" ref="CO32:CO51" si="207">$I32*$K32*T32</f>
        <v>0</v>
      </c>
      <c r="CP32" s="1">
        <f t="shared" ref="CP32:CP51" si="208">$I32*$K32*U32</f>
        <v>0</v>
      </c>
      <c r="CQ32" s="1">
        <f t="shared" ref="CQ32:CQ51" si="209">$I32*$K32*V32</f>
        <v>0</v>
      </c>
      <c r="CR32" s="1">
        <f t="shared" ref="CR32:CR60" si="210">$I32*$K32*W32</f>
        <v>86.170212765957444</v>
      </c>
      <c r="CS32" s="1">
        <f t="shared" ref="CS32:CS60" si="211">$I32*$K32*X32</f>
        <v>0</v>
      </c>
      <c r="CT32" s="1">
        <f t="shared" ref="CT32:CT60" si="212">$I32*$K32*Y32</f>
        <v>0</v>
      </c>
      <c r="CU32" s="1">
        <f t="shared" ref="CU32:CU60" si="213">$I32*$K32*Z32</f>
        <v>0</v>
      </c>
      <c r="CV32" s="1">
        <f t="shared" ref="CV32:CV60" si="214">$I32*$K32*AA32</f>
        <v>0</v>
      </c>
      <c r="CW32" s="1">
        <f t="shared" ref="CW32:CW60" si="215">$I32*$K32*AB32</f>
        <v>0</v>
      </c>
      <c r="CX32" s="1">
        <f t="shared" ref="CX32:CX60" si="216">$I32*$K32*AC32</f>
        <v>143.61702127659575</v>
      </c>
      <c r="CY32" s="1">
        <f t="shared" ref="CY32:CY60" si="217">$I32*$K32*AD32</f>
        <v>0</v>
      </c>
      <c r="CZ32" s="1">
        <f t="shared" ref="CZ32:CZ60" si="218">$I32*$K32*AE32</f>
        <v>0</v>
      </c>
      <c r="DA32" s="1">
        <f t="shared" ref="DA32:DA60" si="219">$I32*$K32*AF32</f>
        <v>0</v>
      </c>
      <c r="DB32" s="1">
        <f t="shared" ref="DB32:DB60" si="220">$I32*$K32*AG32</f>
        <v>0</v>
      </c>
      <c r="DC32" s="1">
        <f t="shared" ref="DC32:DC60" si="221">$I32*$K32*AH32</f>
        <v>0</v>
      </c>
      <c r="DD32" s="1">
        <f t="shared" ref="DD32:DD60" si="222">$I32*$K32*AI32</f>
        <v>0</v>
      </c>
      <c r="DE32" s="23">
        <f t="shared" ref="DE32:DE60" si="223">$I32*$C$9*L32</f>
        <v>19.148936170212767</v>
      </c>
      <c r="DF32" s="1">
        <f t="shared" ref="DF32:DG35" si="224">$I32*$C$9*M32</f>
        <v>19.148936170212767</v>
      </c>
      <c r="DG32" s="1">
        <f t="shared" si="224"/>
        <v>19.148936170212767</v>
      </c>
      <c r="DH32" s="1">
        <f t="shared" ref="DH32:DI60" si="225">$I32*$C$9*O32</f>
        <v>3.8297872340425529</v>
      </c>
      <c r="DI32" s="1">
        <f t="shared" si="225"/>
        <v>9.5744680851063837</v>
      </c>
      <c r="DJ32" s="1">
        <f t="shared" ref="DJ32:DJ60" si="226">$I32*$C$9*Q32</f>
        <v>3.8297872340425529</v>
      </c>
      <c r="DK32" s="1">
        <f t="shared" ref="DK32:DK51" si="227">$I32*$C$9*R32</f>
        <v>0</v>
      </c>
      <c r="DL32" s="1">
        <f t="shared" ref="DL32:DL51" si="228">$I32*$C$9*S32</f>
        <v>0</v>
      </c>
      <c r="DM32" s="1">
        <f t="shared" ref="DM32:DM51" si="229">$I32*$C$9*T32</f>
        <v>0</v>
      </c>
      <c r="DN32" s="1">
        <f t="shared" ref="DN32:DN51" si="230">$I32*$C$9*U32</f>
        <v>0</v>
      </c>
      <c r="DO32" s="1">
        <f t="shared" ref="DO32:DO51" si="231">$I32*$C$9*V32</f>
        <v>0</v>
      </c>
      <c r="DP32" s="1">
        <f t="shared" ref="DP32:DP60" si="232">$I32*$C$9*W32</f>
        <v>5.744680851063829</v>
      </c>
      <c r="DQ32" s="1">
        <f t="shared" ref="DQ32:DQ60" si="233">$I32*$C$9*X32</f>
        <v>0</v>
      </c>
      <c r="DR32" s="1">
        <f t="shared" ref="DR32:DR60" si="234">$I32*$C$9*Y32</f>
        <v>0</v>
      </c>
      <c r="DS32" s="1">
        <f t="shared" ref="DS32:DS60" si="235">$I32*$C$9*Z32</f>
        <v>0</v>
      </c>
      <c r="DT32" s="1">
        <f t="shared" ref="DT32:DT60" si="236">$I32*$C$9*AA32</f>
        <v>0</v>
      </c>
      <c r="DU32" s="1">
        <f t="shared" ref="DU32:DU60" si="237">$I32*$C$9*AB32</f>
        <v>0</v>
      </c>
      <c r="DV32" s="1">
        <f t="shared" ref="DV32:DV60" si="238">$I32*$C$9*AC32</f>
        <v>9.5744680851063837</v>
      </c>
      <c r="DW32" s="1">
        <f t="shared" ref="DW32:DW60" si="239">$I32*$C$9*AD32</f>
        <v>0</v>
      </c>
      <c r="DX32" s="1">
        <f t="shared" ref="DX32:DX60" si="240">$I32*$C$9*AE32</f>
        <v>0</v>
      </c>
      <c r="DY32" s="1">
        <f t="shared" ref="DY32:DY60" si="241">$I32*$C$9*AF32</f>
        <v>0</v>
      </c>
      <c r="DZ32" s="1">
        <f t="shared" ref="DZ32:DZ60" si="242">$I32*$C$9*AG32</f>
        <v>0</v>
      </c>
      <c r="EA32" s="1">
        <f t="shared" ref="EA32:EA60" si="243">$I32*$C$9*AH32</f>
        <v>0</v>
      </c>
      <c r="EB32" s="24">
        <f t="shared" ref="EB32:EB60" si="244">$I32*$C$9*AI32</f>
        <v>0</v>
      </c>
    </row>
    <row r="33" spans="2:132" ht="13.8" thickBot="1" x14ac:dyDescent="0.3">
      <c r="B33" s="13" t="str">
        <f>'Gårdens info'!C88</f>
        <v>plog, 3 skär</v>
      </c>
      <c r="C33" s="33"/>
      <c r="D33" s="13"/>
      <c r="E33" s="33">
        <f>'Gårdens info'!J88</f>
        <v>2024</v>
      </c>
      <c r="G33" s="13"/>
      <c r="H33" s="417">
        <v>15</v>
      </c>
      <c r="I33">
        <f>'Gårdens info'!D88</f>
        <v>5000</v>
      </c>
      <c r="J33" s="417">
        <f t="shared" si="155"/>
        <v>0</v>
      </c>
      <c r="K33" s="418">
        <v>0.03</v>
      </c>
      <c r="L33"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3"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3"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3"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3"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3"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3"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3"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3"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3"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3"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3"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3"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3"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3"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3"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3"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3"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3"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3"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3"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3"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3"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3"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3" s="411">
        <f t="shared" si="156"/>
        <v>1</v>
      </c>
      <c r="AK33" s="1">
        <f t="shared" si="157"/>
        <v>70.921985815602838</v>
      </c>
      <c r="AL33" s="1">
        <f t="shared" si="158"/>
        <v>70.921985815602838</v>
      </c>
      <c r="AM33" s="1">
        <f t="shared" si="158"/>
        <v>70.921985815602838</v>
      </c>
      <c r="AN33" s="1">
        <f t="shared" si="159"/>
        <v>14.184397163120567</v>
      </c>
      <c r="AO33" s="1">
        <f t="shared" si="159"/>
        <v>35.460992907801419</v>
      </c>
      <c r="AP33" s="1">
        <f t="shared" si="160"/>
        <v>14.184397163120567</v>
      </c>
      <c r="AQ33" s="1">
        <f t="shared" si="161"/>
        <v>0</v>
      </c>
      <c r="AR33" s="1">
        <f t="shared" si="162"/>
        <v>0</v>
      </c>
      <c r="AS33" s="1">
        <f t="shared" si="163"/>
        <v>0</v>
      </c>
      <c r="AT33" s="1">
        <f t="shared" si="164"/>
        <v>0</v>
      </c>
      <c r="AU33" s="1">
        <f t="shared" si="165"/>
        <v>0</v>
      </c>
      <c r="AV33" s="1">
        <f t="shared" si="166"/>
        <v>21.276595744680847</v>
      </c>
      <c r="AW33" s="1">
        <f t="shared" si="167"/>
        <v>0</v>
      </c>
      <c r="AX33" s="1">
        <f t="shared" si="168"/>
        <v>0</v>
      </c>
      <c r="AY33" s="1">
        <f t="shared" si="169"/>
        <v>0</v>
      </c>
      <c r="AZ33" s="1">
        <f t="shared" si="170"/>
        <v>0</v>
      </c>
      <c r="BA33" s="1">
        <f t="shared" si="171"/>
        <v>0</v>
      </c>
      <c r="BB33" s="1">
        <f t="shared" si="172"/>
        <v>35.460992907801419</v>
      </c>
      <c r="BC33" s="1">
        <f t="shared" si="173"/>
        <v>0</v>
      </c>
      <c r="BD33" s="1">
        <f t="shared" si="174"/>
        <v>0</v>
      </c>
      <c r="BE33" s="1">
        <f t="shared" si="175"/>
        <v>0</v>
      </c>
      <c r="BF33" s="1">
        <f t="shared" si="176"/>
        <v>0</v>
      </c>
      <c r="BG33" s="1">
        <f t="shared" si="177"/>
        <v>0</v>
      </c>
      <c r="BH33" s="1">
        <f t="shared" si="178"/>
        <v>0</v>
      </c>
      <c r="BI33" s="23">
        <f t="shared" si="179"/>
        <v>26.595744680851062</v>
      </c>
      <c r="BJ33" s="1">
        <f t="shared" si="180"/>
        <v>26.595744680851062</v>
      </c>
      <c r="BK33" s="1">
        <f t="shared" si="180"/>
        <v>26.595744680851062</v>
      </c>
      <c r="BL33" s="1">
        <f t="shared" si="181"/>
        <v>5.3191489361702127</v>
      </c>
      <c r="BM33" s="1">
        <f t="shared" si="181"/>
        <v>13.297872340425531</v>
      </c>
      <c r="BN33" s="1">
        <f t="shared" si="182"/>
        <v>5.3191489361702127</v>
      </c>
      <c r="BO33" s="1">
        <f t="shared" si="183"/>
        <v>0</v>
      </c>
      <c r="BP33" s="1">
        <f t="shared" si="184"/>
        <v>0</v>
      </c>
      <c r="BQ33" s="1">
        <f t="shared" si="185"/>
        <v>0</v>
      </c>
      <c r="BR33" s="1">
        <f t="shared" si="186"/>
        <v>0</v>
      </c>
      <c r="BS33" s="1">
        <f t="shared" si="187"/>
        <v>0</v>
      </c>
      <c r="BT33" s="1">
        <f t="shared" si="188"/>
        <v>7.9787234042553186</v>
      </c>
      <c r="BU33" s="1">
        <f t="shared" si="189"/>
        <v>0</v>
      </c>
      <c r="BV33" s="1">
        <f t="shared" si="190"/>
        <v>0</v>
      </c>
      <c r="BW33" s="1">
        <f t="shared" si="191"/>
        <v>0</v>
      </c>
      <c r="BX33" s="1">
        <f t="shared" si="192"/>
        <v>0</v>
      </c>
      <c r="BY33" s="1">
        <f t="shared" si="193"/>
        <v>0</v>
      </c>
      <c r="BZ33" s="1">
        <f t="shared" si="194"/>
        <v>13.297872340425531</v>
      </c>
      <c r="CA33" s="1">
        <f t="shared" si="195"/>
        <v>0</v>
      </c>
      <c r="CB33" s="1">
        <f t="shared" si="196"/>
        <v>0</v>
      </c>
      <c r="CC33" s="1">
        <f t="shared" si="197"/>
        <v>0</v>
      </c>
      <c r="CD33" s="1">
        <f t="shared" si="198"/>
        <v>0</v>
      </c>
      <c r="CE33" s="1">
        <f t="shared" si="199"/>
        <v>0</v>
      </c>
      <c r="CF33" s="1">
        <f t="shared" si="200"/>
        <v>0</v>
      </c>
      <c r="CG33" s="23">
        <f t="shared" si="201"/>
        <v>31.914893617021278</v>
      </c>
      <c r="CH33" s="1">
        <f t="shared" si="202"/>
        <v>31.914893617021278</v>
      </c>
      <c r="CI33" s="1">
        <f t="shared" si="202"/>
        <v>31.914893617021278</v>
      </c>
      <c r="CJ33" s="1">
        <f t="shared" si="203"/>
        <v>6.3829787234042552</v>
      </c>
      <c r="CK33" s="1">
        <f t="shared" si="203"/>
        <v>15.957446808510639</v>
      </c>
      <c r="CL33" s="1">
        <f t="shared" si="204"/>
        <v>6.3829787234042552</v>
      </c>
      <c r="CM33" s="1">
        <f t="shared" si="205"/>
        <v>0</v>
      </c>
      <c r="CN33" s="1">
        <f t="shared" si="206"/>
        <v>0</v>
      </c>
      <c r="CO33" s="1">
        <f t="shared" si="207"/>
        <v>0</v>
      </c>
      <c r="CP33" s="1">
        <f t="shared" si="208"/>
        <v>0</v>
      </c>
      <c r="CQ33" s="1">
        <f t="shared" si="209"/>
        <v>0</v>
      </c>
      <c r="CR33" s="1">
        <f t="shared" si="210"/>
        <v>9.5744680851063819</v>
      </c>
      <c r="CS33" s="1">
        <f t="shared" si="211"/>
        <v>0</v>
      </c>
      <c r="CT33" s="1">
        <f t="shared" si="212"/>
        <v>0</v>
      </c>
      <c r="CU33" s="1">
        <f t="shared" si="213"/>
        <v>0</v>
      </c>
      <c r="CV33" s="1">
        <f t="shared" si="214"/>
        <v>0</v>
      </c>
      <c r="CW33" s="1">
        <f t="shared" si="215"/>
        <v>0</v>
      </c>
      <c r="CX33" s="1">
        <f t="shared" si="216"/>
        <v>15.957446808510639</v>
      </c>
      <c r="CY33" s="1">
        <f t="shared" si="217"/>
        <v>0</v>
      </c>
      <c r="CZ33" s="1">
        <f t="shared" si="218"/>
        <v>0</v>
      </c>
      <c r="DA33" s="1">
        <f t="shared" si="219"/>
        <v>0</v>
      </c>
      <c r="DB33" s="1">
        <f t="shared" si="220"/>
        <v>0</v>
      </c>
      <c r="DC33" s="1">
        <f t="shared" si="221"/>
        <v>0</v>
      </c>
      <c r="DD33" s="1">
        <f t="shared" si="222"/>
        <v>0</v>
      </c>
      <c r="DE33" s="23">
        <f t="shared" si="223"/>
        <v>2.1276595744680851</v>
      </c>
      <c r="DF33" s="1">
        <f t="shared" si="224"/>
        <v>2.1276595744680851</v>
      </c>
      <c r="DG33" s="1">
        <f t="shared" si="224"/>
        <v>2.1276595744680851</v>
      </c>
      <c r="DH33" s="1">
        <f t="shared" si="225"/>
        <v>0.42553191489361702</v>
      </c>
      <c r="DI33" s="1">
        <f t="shared" si="225"/>
        <v>1.0638297872340425</v>
      </c>
      <c r="DJ33" s="1">
        <f t="shared" si="226"/>
        <v>0.42553191489361702</v>
      </c>
      <c r="DK33" s="1">
        <f t="shared" si="227"/>
        <v>0</v>
      </c>
      <c r="DL33" s="1">
        <f t="shared" si="228"/>
        <v>0</v>
      </c>
      <c r="DM33" s="1">
        <f t="shared" si="229"/>
        <v>0</v>
      </c>
      <c r="DN33" s="1">
        <f t="shared" si="230"/>
        <v>0</v>
      </c>
      <c r="DO33" s="1">
        <f t="shared" si="231"/>
        <v>0</v>
      </c>
      <c r="DP33" s="1">
        <f t="shared" si="232"/>
        <v>0.63829787234042545</v>
      </c>
      <c r="DQ33" s="1">
        <f t="shared" si="233"/>
        <v>0</v>
      </c>
      <c r="DR33" s="1">
        <f t="shared" si="234"/>
        <v>0</v>
      </c>
      <c r="DS33" s="1">
        <f t="shared" si="235"/>
        <v>0</v>
      </c>
      <c r="DT33" s="1">
        <f t="shared" si="236"/>
        <v>0</v>
      </c>
      <c r="DU33" s="1">
        <f t="shared" si="237"/>
        <v>0</v>
      </c>
      <c r="DV33" s="1">
        <f t="shared" si="238"/>
        <v>1.0638297872340425</v>
      </c>
      <c r="DW33" s="1">
        <f t="shared" si="239"/>
        <v>0</v>
      </c>
      <c r="DX33" s="1">
        <f t="shared" si="240"/>
        <v>0</v>
      </c>
      <c r="DY33" s="1">
        <f t="shared" si="241"/>
        <v>0</v>
      </c>
      <c r="DZ33" s="1">
        <f t="shared" si="242"/>
        <v>0</v>
      </c>
      <c r="EA33" s="1">
        <f t="shared" si="243"/>
        <v>0</v>
      </c>
      <c r="EB33" s="24">
        <f t="shared" si="244"/>
        <v>0</v>
      </c>
    </row>
    <row r="34" spans="2:132" ht="13.8" thickBot="1" x14ac:dyDescent="0.3">
      <c r="B34" s="13" t="str">
        <f>'Gårdens info'!C89</f>
        <v>harv 3m</v>
      </c>
      <c r="C34" s="33"/>
      <c r="D34" s="14"/>
      <c r="E34" s="33">
        <f>'Gårdens info'!J89</f>
        <v>2024</v>
      </c>
      <c r="F34" s="14"/>
      <c r="G34" s="14"/>
      <c r="H34" s="417">
        <v>15</v>
      </c>
      <c r="I34">
        <f>'Gårdens info'!D89</f>
        <v>600</v>
      </c>
      <c r="J34" s="417">
        <f t="shared" si="155"/>
        <v>0</v>
      </c>
      <c r="K34" s="418">
        <v>0.03</v>
      </c>
      <c r="L34"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4"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4"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4"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4"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4"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4"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4"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4"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4"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4"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4"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4"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4"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4"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4"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4"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4"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4"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4"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4"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4"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4"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4"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4" s="411">
        <f t="shared" si="156"/>
        <v>1</v>
      </c>
      <c r="AK34" s="1">
        <f t="shared" si="157"/>
        <v>8.5106382978723403</v>
      </c>
      <c r="AL34" s="1">
        <f t="shared" si="158"/>
        <v>8.5106382978723403</v>
      </c>
      <c r="AM34" s="1">
        <f t="shared" si="158"/>
        <v>8.5106382978723403</v>
      </c>
      <c r="AN34" s="1">
        <f t="shared" si="159"/>
        <v>1.7021276595744681</v>
      </c>
      <c r="AO34" s="1">
        <f t="shared" si="159"/>
        <v>4.2553191489361701</v>
      </c>
      <c r="AP34" s="1">
        <f t="shared" si="160"/>
        <v>1.7021276595744681</v>
      </c>
      <c r="AQ34" s="1">
        <f t="shared" si="161"/>
        <v>0</v>
      </c>
      <c r="AR34" s="1">
        <f t="shared" si="162"/>
        <v>0</v>
      </c>
      <c r="AS34" s="1">
        <f t="shared" si="163"/>
        <v>0</v>
      </c>
      <c r="AT34" s="1">
        <f t="shared" si="164"/>
        <v>0</v>
      </c>
      <c r="AU34" s="1">
        <f t="shared" si="165"/>
        <v>0</v>
      </c>
      <c r="AV34" s="1">
        <f t="shared" si="166"/>
        <v>2.5531914893617018</v>
      </c>
      <c r="AW34" s="1">
        <f t="shared" si="167"/>
        <v>0</v>
      </c>
      <c r="AX34" s="1">
        <f t="shared" si="168"/>
        <v>0</v>
      </c>
      <c r="AY34" s="1">
        <f t="shared" si="169"/>
        <v>0</v>
      </c>
      <c r="AZ34" s="1">
        <f t="shared" si="170"/>
        <v>0</v>
      </c>
      <c r="BA34" s="1">
        <f t="shared" si="171"/>
        <v>0</v>
      </c>
      <c r="BB34" s="1">
        <f t="shared" si="172"/>
        <v>4.2553191489361701</v>
      </c>
      <c r="BC34" s="1">
        <f t="shared" si="173"/>
        <v>0</v>
      </c>
      <c r="BD34" s="1">
        <f t="shared" si="174"/>
        <v>0</v>
      </c>
      <c r="BE34" s="1">
        <f t="shared" si="175"/>
        <v>0</v>
      </c>
      <c r="BF34" s="1">
        <f t="shared" si="176"/>
        <v>0</v>
      </c>
      <c r="BG34" s="1">
        <f t="shared" si="177"/>
        <v>0</v>
      </c>
      <c r="BH34" s="1">
        <f t="shared" si="178"/>
        <v>0</v>
      </c>
      <c r="BI34" s="23">
        <f t="shared" si="179"/>
        <v>3.1914893617021276</v>
      </c>
      <c r="BJ34" s="1">
        <f t="shared" si="180"/>
        <v>3.1914893617021276</v>
      </c>
      <c r="BK34" s="1">
        <f t="shared" si="180"/>
        <v>3.1914893617021276</v>
      </c>
      <c r="BL34" s="1">
        <f t="shared" si="181"/>
        <v>0.63829787234042556</v>
      </c>
      <c r="BM34" s="1">
        <f t="shared" si="181"/>
        <v>1.5957446808510638</v>
      </c>
      <c r="BN34" s="1">
        <f t="shared" si="182"/>
        <v>0.63829787234042556</v>
      </c>
      <c r="BO34" s="1">
        <f t="shared" si="183"/>
        <v>0</v>
      </c>
      <c r="BP34" s="1">
        <f t="shared" si="184"/>
        <v>0</v>
      </c>
      <c r="BQ34" s="1">
        <f t="shared" si="185"/>
        <v>0</v>
      </c>
      <c r="BR34" s="1">
        <f t="shared" si="186"/>
        <v>0</v>
      </c>
      <c r="BS34" s="1">
        <f t="shared" si="187"/>
        <v>0</v>
      </c>
      <c r="BT34" s="1">
        <f t="shared" si="188"/>
        <v>0.95744680851063824</v>
      </c>
      <c r="BU34" s="1">
        <f t="shared" si="189"/>
        <v>0</v>
      </c>
      <c r="BV34" s="1">
        <f t="shared" si="190"/>
        <v>0</v>
      </c>
      <c r="BW34" s="1">
        <f t="shared" si="191"/>
        <v>0</v>
      </c>
      <c r="BX34" s="1">
        <f t="shared" si="192"/>
        <v>0</v>
      </c>
      <c r="BY34" s="1">
        <f t="shared" si="193"/>
        <v>0</v>
      </c>
      <c r="BZ34" s="1">
        <f t="shared" si="194"/>
        <v>1.5957446808510638</v>
      </c>
      <c r="CA34" s="1">
        <f t="shared" si="195"/>
        <v>0</v>
      </c>
      <c r="CB34" s="1">
        <f t="shared" si="196"/>
        <v>0</v>
      </c>
      <c r="CC34" s="1">
        <f t="shared" si="197"/>
        <v>0</v>
      </c>
      <c r="CD34" s="1">
        <f t="shared" si="198"/>
        <v>0</v>
      </c>
      <c r="CE34" s="1">
        <f t="shared" si="199"/>
        <v>0</v>
      </c>
      <c r="CF34" s="1">
        <f t="shared" si="200"/>
        <v>0</v>
      </c>
      <c r="CG34" s="23">
        <f t="shared" si="201"/>
        <v>3.8297872340425534</v>
      </c>
      <c r="CH34" s="1">
        <f t="shared" si="202"/>
        <v>3.8297872340425534</v>
      </c>
      <c r="CI34" s="1">
        <f t="shared" si="202"/>
        <v>3.8297872340425534</v>
      </c>
      <c r="CJ34" s="1">
        <f t="shared" si="203"/>
        <v>0.76595744680851063</v>
      </c>
      <c r="CK34" s="1">
        <f t="shared" si="203"/>
        <v>1.9148936170212767</v>
      </c>
      <c r="CL34" s="1">
        <f t="shared" si="204"/>
        <v>0.76595744680851063</v>
      </c>
      <c r="CM34" s="1">
        <f t="shared" si="205"/>
        <v>0</v>
      </c>
      <c r="CN34" s="1">
        <f t="shared" si="206"/>
        <v>0</v>
      </c>
      <c r="CO34" s="1">
        <f t="shared" si="207"/>
        <v>0</v>
      </c>
      <c r="CP34" s="1">
        <f t="shared" si="208"/>
        <v>0</v>
      </c>
      <c r="CQ34" s="1">
        <f t="shared" si="209"/>
        <v>0</v>
      </c>
      <c r="CR34" s="1">
        <f t="shared" si="210"/>
        <v>1.1489361702127658</v>
      </c>
      <c r="CS34" s="1">
        <f t="shared" si="211"/>
        <v>0</v>
      </c>
      <c r="CT34" s="1">
        <f t="shared" si="212"/>
        <v>0</v>
      </c>
      <c r="CU34" s="1">
        <f t="shared" si="213"/>
        <v>0</v>
      </c>
      <c r="CV34" s="1">
        <f t="shared" si="214"/>
        <v>0</v>
      </c>
      <c r="CW34" s="1">
        <f t="shared" si="215"/>
        <v>0</v>
      </c>
      <c r="CX34" s="1">
        <f t="shared" si="216"/>
        <v>1.9148936170212767</v>
      </c>
      <c r="CY34" s="1">
        <f t="shared" si="217"/>
        <v>0</v>
      </c>
      <c r="CZ34" s="1">
        <f t="shared" si="218"/>
        <v>0</v>
      </c>
      <c r="DA34" s="1">
        <f t="shared" si="219"/>
        <v>0</v>
      </c>
      <c r="DB34" s="1">
        <f t="shared" si="220"/>
        <v>0</v>
      </c>
      <c r="DC34" s="1">
        <f t="shared" si="221"/>
        <v>0</v>
      </c>
      <c r="DD34" s="1">
        <f t="shared" si="222"/>
        <v>0</v>
      </c>
      <c r="DE34" s="23">
        <f t="shared" si="223"/>
        <v>0.25531914893617019</v>
      </c>
      <c r="DF34" s="1">
        <f t="shared" si="224"/>
        <v>0.25531914893617019</v>
      </c>
      <c r="DG34" s="1">
        <f t="shared" si="224"/>
        <v>0.25531914893617019</v>
      </c>
      <c r="DH34" s="1">
        <f t="shared" si="225"/>
        <v>5.106382978723404E-2</v>
      </c>
      <c r="DI34" s="1">
        <f t="shared" si="225"/>
        <v>0.1276595744680851</v>
      </c>
      <c r="DJ34" s="1">
        <f t="shared" si="226"/>
        <v>5.106382978723404E-2</v>
      </c>
      <c r="DK34" s="1">
        <f t="shared" si="227"/>
        <v>0</v>
      </c>
      <c r="DL34" s="1">
        <f t="shared" si="228"/>
        <v>0</v>
      </c>
      <c r="DM34" s="1">
        <f t="shared" si="229"/>
        <v>0</v>
      </c>
      <c r="DN34" s="1">
        <f t="shared" si="230"/>
        <v>0</v>
      </c>
      <c r="DO34" s="1">
        <f t="shared" si="231"/>
        <v>0</v>
      </c>
      <c r="DP34" s="1">
        <f t="shared" si="232"/>
        <v>7.6595744680851049E-2</v>
      </c>
      <c r="DQ34" s="1">
        <f t="shared" si="233"/>
        <v>0</v>
      </c>
      <c r="DR34" s="1">
        <f t="shared" si="234"/>
        <v>0</v>
      </c>
      <c r="DS34" s="1">
        <f t="shared" si="235"/>
        <v>0</v>
      </c>
      <c r="DT34" s="1">
        <f t="shared" si="236"/>
        <v>0</v>
      </c>
      <c r="DU34" s="1">
        <f t="shared" si="237"/>
        <v>0</v>
      </c>
      <c r="DV34" s="1">
        <f t="shared" si="238"/>
        <v>0.1276595744680851</v>
      </c>
      <c r="DW34" s="1">
        <f t="shared" si="239"/>
        <v>0</v>
      </c>
      <c r="DX34" s="1">
        <f t="shared" si="240"/>
        <v>0</v>
      </c>
      <c r="DY34" s="1">
        <f t="shared" si="241"/>
        <v>0</v>
      </c>
      <c r="DZ34" s="1">
        <f t="shared" si="242"/>
        <v>0</v>
      </c>
      <c r="EA34" s="1">
        <f t="shared" si="243"/>
        <v>0</v>
      </c>
      <c r="EB34" s="24">
        <f t="shared" si="244"/>
        <v>0</v>
      </c>
    </row>
    <row r="35" spans="2:132" ht="13.8" thickBot="1" x14ac:dyDescent="0.3">
      <c r="B35" s="13" t="str">
        <f>'Gårdens info'!C90</f>
        <v>Kivi Pekka</v>
      </c>
      <c r="C35" s="33"/>
      <c r="D35" s="14"/>
      <c r="E35" s="33">
        <f>'Gårdens info'!J90</f>
        <v>2024</v>
      </c>
      <c r="F35" s="14"/>
      <c r="G35" s="14"/>
      <c r="H35" s="417">
        <v>15</v>
      </c>
      <c r="I35">
        <f>'Gårdens info'!D90</f>
        <v>6000</v>
      </c>
      <c r="J35" s="417">
        <f t="shared" si="155"/>
        <v>0</v>
      </c>
      <c r="K35" s="418">
        <v>0.03</v>
      </c>
      <c r="L35"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5"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5"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5"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5"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5"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5"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5"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5"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5"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5"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5"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5"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5"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5"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5"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5"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5"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5"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5"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5"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5"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5"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5"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5" s="411">
        <f t="shared" si="156"/>
        <v>1</v>
      </c>
      <c r="AK35" s="1">
        <f t="shared" si="157"/>
        <v>85.106382978723403</v>
      </c>
      <c r="AL35" s="1">
        <f t="shared" si="158"/>
        <v>85.106382978723403</v>
      </c>
      <c r="AM35" s="1">
        <f t="shared" si="158"/>
        <v>85.106382978723403</v>
      </c>
      <c r="AN35" s="1">
        <f t="shared" si="159"/>
        <v>17.021276595744681</v>
      </c>
      <c r="AO35" s="1">
        <f t="shared" si="159"/>
        <v>42.553191489361701</v>
      </c>
      <c r="AP35" s="1">
        <f t="shared" si="160"/>
        <v>17.021276595744681</v>
      </c>
      <c r="AQ35" s="1">
        <f t="shared" si="161"/>
        <v>0</v>
      </c>
      <c r="AR35" s="1">
        <f t="shared" si="162"/>
        <v>0</v>
      </c>
      <c r="AS35" s="1">
        <f t="shared" si="163"/>
        <v>0</v>
      </c>
      <c r="AT35" s="1">
        <f t="shared" si="164"/>
        <v>0</v>
      </c>
      <c r="AU35" s="1">
        <f t="shared" si="165"/>
        <v>0</v>
      </c>
      <c r="AV35" s="1">
        <f t="shared" si="166"/>
        <v>25.531914893617021</v>
      </c>
      <c r="AW35" s="1">
        <f t="shared" si="167"/>
        <v>0</v>
      </c>
      <c r="AX35" s="1">
        <f t="shared" si="168"/>
        <v>0</v>
      </c>
      <c r="AY35" s="1">
        <f t="shared" si="169"/>
        <v>0</v>
      </c>
      <c r="AZ35" s="1">
        <f t="shared" si="170"/>
        <v>0</v>
      </c>
      <c r="BA35" s="1">
        <f t="shared" si="171"/>
        <v>0</v>
      </c>
      <c r="BB35" s="1">
        <f t="shared" si="172"/>
        <v>42.553191489361701</v>
      </c>
      <c r="BC35" s="1">
        <f t="shared" si="173"/>
        <v>0</v>
      </c>
      <c r="BD35" s="1">
        <f t="shared" si="174"/>
        <v>0</v>
      </c>
      <c r="BE35" s="1">
        <f t="shared" si="175"/>
        <v>0</v>
      </c>
      <c r="BF35" s="1">
        <f t="shared" si="176"/>
        <v>0</v>
      </c>
      <c r="BG35" s="1">
        <f t="shared" si="177"/>
        <v>0</v>
      </c>
      <c r="BH35" s="1">
        <f t="shared" si="178"/>
        <v>0</v>
      </c>
      <c r="BI35" s="23">
        <f t="shared" si="179"/>
        <v>31.914893617021278</v>
      </c>
      <c r="BJ35" s="1">
        <f t="shared" si="180"/>
        <v>31.914893617021278</v>
      </c>
      <c r="BK35" s="1">
        <f t="shared" si="180"/>
        <v>31.914893617021278</v>
      </c>
      <c r="BL35" s="1">
        <f t="shared" si="181"/>
        <v>6.3829787234042552</v>
      </c>
      <c r="BM35" s="1">
        <f t="shared" si="181"/>
        <v>15.957446808510639</v>
      </c>
      <c r="BN35" s="1">
        <f t="shared" si="182"/>
        <v>6.3829787234042552</v>
      </c>
      <c r="BO35" s="1">
        <f t="shared" si="183"/>
        <v>0</v>
      </c>
      <c r="BP35" s="1">
        <f t="shared" si="184"/>
        <v>0</v>
      </c>
      <c r="BQ35" s="1">
        <f t="shared" si="185"/>
        <v>0</v>
      </c>
      <c r="BR35" s="1">
        <f t="shared" si="186"/>
        <v>0</v>
      </c>
      <c r="BS35" s="1">
        <f t="shared" si="187"/>
        <v>0</v>
      </c>
      <c r="BT35" s="1">
        <f t="shared" si="188"/>
        <v>9.5744680851063819</v>
      </c>
      <c r="BU35" s="1">
        <f t="shared" si="189"/>
        <v>0</v>
      </c>
      <c r="BV35" s="1">
        <f t="shared" si="190"/>
        <v>0</v>
      </c>
      <c r="BW35" s="1">
        <f t="shared" si="191"/>
        <v>0</v>
      </c>
      <c r="BX35" s="1">
        <f t="shared" si="192"/>
        <v>0</v>
      </c>
      <c r="BY35" s="1">
        <f t="shared" si="193"/>
        <v>0</v>
      </c>
      <c r="BZ35" s="1">
        <f t="shared" si="194"/>
        <v>15.957446808510639</v>
      </c>
      <c r="CA35" s="1">
        <f t="shared" si="195"/>
        <v>0</v>
      </c>
      <c r="CB35" s="1">
        <f t="shared" si="196"/>
        <v>0</v>
      </c>
      <c r="CC35" s="1">
        <f t="shared" si="197"/>
        <v>0</v>
      </c>
      <c r="CD35" s="1">
        <f t="shared" si="198"/>
        <v>0</v>
      </c>
      <c r="CE35" s="1">
        <f t="shared" si="199"/>
        <v>0</v>
      </c>
      <c r="CF35" s="1">
        <f t="shared" si="200"/>
        <v>0</v>
      </c>
      <c r="CG35" s="23">
        <f t="shared" si="201"/>
        <v>38.297872340425535</v>
      </c>
      <c r="CH35" s="1">
        <f t="shared" si="202"/>
        <v>38.297872340425535</v>
      </c>
      <c r="CI35" s="1">
        <f t="shared" si="202"/>
        <v>38.297872340425535</v>
      </c>
      <c r="CJ35" s="1">
        <f t="shared" si="203"/>
        <v>7.6595744680851059</v>
      </c>
      <c r="CK35" s="1">
        <f t="shared" si="203"/>
        <v>19.148936170212767</v>
      </c>
      <c r="CL35" s="1">
        <f t="shared" si="204"/>
        <v>7.6595744680851059</v>
      </c>
      <c r="CM35" s="1">
        <f t="shared" si="205"/>
        <v>0</v>
      </c>
      <c r="CN35" s="1">
        <f t="shared" si="206"/>
        <v>0</v>
      </c>
      <c r="CO35" s="1">
        <f t="shared" si="207"/>
        <v>0</v>
      </c>
      <c r="CP35" s="1">
        <f t="shared" si="208"/>
        <v>0</v>
      </c>
      <c r="CQ35" s="1">
        <f t="shared" si="209"/>
        <v>0</v>
      </c>
      <c r="CR35" s="1">
        <f t="shared" si="210"/>
        <v>11.489361702127658</v>
      </c>
      <c r="CS35" s="1">
        <f t="shared" si="211"/>
        <v>0</v>
      </c>
      <c r="CT35" s="1">
        <f t="shared" si="212"/>
        <v>0</v>
      </c>
      <c r="CU35" s="1">
        <f t="shared" si="213"/>
        <v>0</v>
      </c>
      <c r="CV35" s="1">
        <f t="shared" si="214"/>
        <v>0</v>
      </c>
      <c r="CW35" s="1">
        <f t="shared" si="215"/>
        <v>0</v>
      </c>
      <c r="CX35" s="1">
        <f t="shared" si="216"/>
        <v>19.148936170212767</v>
      </c>
      <c r="CY35" s="1">
        <f t="shared" si="217"/>
        <v>0</v>
      </c>
      <c r="CZ35" s="1">
        <f t="shared" si="218"/>
        <v>0</v>
      </c>
      <c r="DA35" s="1">
        <f t="shared" si="219"/>
        <v>0</v>
      </c>
      <c r="DB35" s="1">
        <f t="shared" si="220"/>
        <v>0</v>
      </c>
      <c r="DC35" s="1">
        <f t="shared" si="221"/>
        <v>0</v>
      </c>
      <c r="DD35" s="1">
        <f t="shared" si="222"/>
        <v>0</v>
      </c>
      <c r="DE35" s="23">
        <f t="shared" si="223"/>
        <v>2.5531914893617023</v>
      </c>
      <c r="DF35" s="1">
        <f t="shared" si="224"/>
        <v>2.5531914893617023</v>
      </c>
      <c r="DG35" s="1">
        <f t="shared" si="224"/>
        <v>2.5531914893617023</v>
      </c>
      <c r="DH35" s="1">
        <f t="shared" si="225"/>
        <v>0.51063829787234039</v>
      </c>
      <c r="DI35" s="1">
        <f t="shared" si="225"/>
        <v>1.2765957446808511</v>
      </c>
      <c r="DJ35" s="1">
        <f t="shared" si="226"/>
        <v>0.51063829787234039</v>
      </c>
      <c r="DK35" s="1">
        <f t="shared" si="227"/>
        <v>0</v>
      </c>
      <c r="DL35" s="1">
        <f t="shared" si="228"/>
        <v>0</v>
      </c>
      <c r="DM35" s="1">
        <f t="shared" si="229"/>
        <v>0</v>
      </c>
      <c r="DN35" s="1">
        <f t="shared" si="230"/>
        <v>0</v>
      </c>
      <c r="DO35" s="1">
        <f t="shared" si="231"/>
        <v>0</v>
      </c>
      <c r="DP35" s="1">
        <f t="shared" si="232"/>
        <v>0.76595744680851063</v>
      </c>
      <c r="DQ35" s="1">
        <f t="shared" si="233"/>
        <v>0</v>
      </c>
      <c r="DR35" s="1">
        <f t="shared" si="234"/>
        <v>0</v>
      </c>
      <c r="DS35" s="1">
        <f t="shared" si="235"/>
        <v>0</v>
      </c>
      <c r="DT35" s="1">
        <f t="shared" si="236"/>
        <v>0</v>
      </c>
      <c r="DU35" s="1">
        <f t="shared" si="237"/>
        <v>0</v>
      </c>
      <c r="DV35" s="1">
        <f t="shared" si="238"/>
        <v>1.2765957446808511</v>
      </c>
      <c r="DW35" s="1">
        <f t="shared" si="239"/>
        <v>0</v>
      </c>
      <c r="DX35" s="1">
        <f t="shared" si="240"/>
        <v>0</v>
      </c>
      <c r="DY35" s="1">
        <f t="shared" si="241"/>
        <v>0</v>
      </c>
      <c r="DZ35" s="1">
        <f t="shared" si="242"/>
        <v>0</v>
      </c>
      <c r="EA35" s="1">
        <f t="shared" si="243"/>
        <v>0</v>
      </c>
      <c r="EB35" s="24">
        <f t="shared" si="244"/>
        <v>0</v>
      </c>
    </row>
    <row r="36" spans="2:132" ht="13.8" thickBot="1" x14ac:dyDescent="0.3">
      <c r="B36" s="594" t="str">
        <f>'Gårdens info'!C91</f>
        <v>jordgubbsspruta 600 l</v>
      </c>
      <c r="C36" s="33"/>
      <c r="D36" s="14"/>
      <c r="E36" s="596">
        <v>2000</v>
      </c>
      <c r="F36" s="14"/>
      <c r="G36" s="14"/>
      <c r="H36" s="417">
        <v>15</v>
      </c>
      <c r="I36">
        <v>17000</v>
      </c>
      <c r="J36" s="417">
        <f t="shared" ref="J36" si="245">C36*0.1</f>
        <v>0</v>
      </c>
      <c r="K36" s="418">
        <v>0.03</v>
      </c>
      <c r="L36" s="409">
        <v>0</v>
      </c>
      <c r="M36" s="409">
        <v>0</v>
      </c>
      <c r="N36" s="409">
        <v>0</v>
      </c>
      <c r="O36" s="409">
        <v>0</v>
      </c>
      <c r="P36" s="409">
        <v>0</v>
      </c>
      <c r="Q36" s="409">
        <v>0</v>
      </c>
      <c r="R36" s="409">
        <v>0</v>
      </c>
      <c r="S36" s="409">
        <v>0</v>
      </c>
      <c r="T36" s="409">
        <v>0</v>
      </c>
      <c r="U36" s="409">
        <v>0</v>
      </c>
      <c r="V36"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6" s="409">
        <v>0</v>
      </c>
      <c r="X36" s="409">
        <v>0</v>
      </c>
      <c r="Y36" s="409">
        <v>0</v>
      </c>
      <c r="Z36" s="409">
        <v>0</v>
      </c>
      <c r="AA36" s="409">
        <v>0</v>
      </c>
      <c r="AB36" s="409">
        <v>0</v>
      </c>
      <c r="AC36" s="409">
        <v>0</v>
      </c>
      <c r="AD36" s="409" t="e">
        <f>'Gårdens info'!$D$37/('Gårdens info'!$D$37+'Gårdens info'!$D$38+'Gårdens info'!$D$39+'Gårdens info'!$D$40+'Gårdens info'!$D$42)</f>
        <v>#DIV/0!</v>
      </c>
      <c r="AE36" s="409" t="e">
        <f>'Gårdens info'!$D$38/('Gårdens info'!$D$37+'Gårdens info'!$D$38+'Gårdens info'!$D$39+'Gårdens info'!$D$40+'Gårdens info'!$D$42)</f>
        <v>#DIV/0!</v>
      </c>
      <c r="AF36" s="409" t="e">
        <f>'Gårdens info'!$D$39/('Gårdens info'!$D$37+'Gårdens info'!$D$38+'Gårdens info'!$D$39+'Gårdens info'!$D$40+'Gårdens info'!$D$42)</f>
        <v>#DIV/0!</v>
      </c>
      <c r="AG36" s="409" t="e">
        <f>'Gårdens info'!$D$40/('Gårdens info'!$D$37+'Gårdens info'!$D$38+'Gårdens info'!$D$39+'Gårdens info'!$D$40+'Gårdens info'!$D$42)</f>
        <v>#DIV/0!</v>
      </c>
      <c r="AH36" s="409">
        <v>0</v>
      </c>
      <c r="AI36" s="409" t="e">
        <f>'Gårdens info'!$D$42/('Gårdens info'!$D$37+'Gårdens info'!$D$38+'Gårdens info'!$D$39+'Gårdens info'!$D$40+'Gårdens info'!$D$42)</f>
        <v>#DIV/0!</v>
      </c>
      <c r="AJ36" s="411" t="e">
        <f t="shared" si="156"/>
        <v>#DIV/0!</v>
      </c>
      <c r="AK36" s="1">
        <f t="shared" ref="AK36" si="246">IF((($C$7-$E36)&lt;=$H36),(($I36-$J36)/$H36*L36),0)</f>
        <v>0</v>
      </c>
      <c r="AL36" s="1">
        <f t="shared" ref="AL36" si="247">IF((($C$7-$E36)&lt;=$H36),(($I36-$J36)/$H36*M36),0)</f>
        <v>0</v>
      </c>
      <c r="AM36" s="1">
        <f t="shared" ref="AM36" si="248">IF((($C$7-$E36)&lt;=$H36),(($I36-$J36)/$H36*N36),0)</f>
        <v>0</v>
      </c>
      <c r="AN36" s="1">
        <f t="shared" ref="AN36:AO36" si="249">IF((($C$7-$E36)&lt;=$H36),(($I36-$J36)/$H36*O36),0)</f>
        <v>0</v>
      </c>
      <c r="AO36" s="1">
        <f t="shared" si="249"/>
        <v>0</v>
      </c>
      <c r="AP36" s="1">
        <f t="shared" ref="AP36" si="250">IF((($C$7-$E36)&lt;=$H36),(($I36-$J36)/$H36*Q36),0)</f>
        <v>0</v>
      </c>
      <c r="AQ36" s="1">
        <f t="shared" ref="AQ36" si="251">IF((($C$7-$E36)&lt;=$H36),(($I36-$J36)/$H36*R36),0)</f>
        <v>0</v>
      </c>
      <c r="AR36" s="1">
        <f t="shared" ref="AR36" si="252">IF((($C$7-$E36)&lt;=$H36),(($I36-$J36)/$H36*S36),0)</f>
        <v>0</v>
      </c>
      <c r="AS36" s="1">
        <f t="shared" ref="AS36" si="253">IF((($C$7-$E36)&lt;=$H36),(($I36-$J36)/$H36*T36),0)</f>
        <v>0</v>
      </c>
      <c r="AT36" s="1">
        <f t="shared" ref="AT36" si="254">IF((($C$7-$E36)&lt;=$H36),(($I36-$J36)/$H36*U36),0)</f>
        <v>0</v>
      </c>
      <c r="AU36" s="1">
        <f t="shared" ref="AU36" si="255">IF((($C$7-$E36)&lt;=$H36),(($I36-$J36)/$H36*V36),0)</f>
        <v>0</v>
      </c>
      <c r="AV36" s="1">
        <f t="shared" ref="AV36" si="256">IF((($C$7-$E36)&lt;=$H36),(($I36-$J36)/$H36*W36),0)</f>
        <v>0</v>
      </c>
      <c r="AW36" s="1">
        <f t="shared" ref="AW36" si="257">IF((($C$7-$E36)&lt;=$H36),(($I36-$J36)/$H36*X36),0)</f>
        <v>0</v>
      </c>
      <c r="AX36" s="1">
        <f t="shared" ref="AX36" si="258">IF((($C$7-$E36)&lt;=$H36),(($I36-$J36)/$H36*Y36),0)</f>
        <v>0</v>
      </c>
      <c r="AY36" s="1">
        <f t="shared" ref="AY36" si="259">IF((($C$7-$E36)&lt;=$H36),(($I36-$J36)/$H36*Z36),0)</f>
        <v>0</v>
      </c>
      <c r="AZ36" s="1">
        <f t="shared" ref="AZ36" si="260">IF((($C$7-$E36)&lt;=$H36),(($I36-$J36)/$H36*AA36),0)</f>
        <v>0</v>
      </c>
      <c r="BA36" s="1">
        <f t="shared" ref="BA36" si="261">IF((($C$7-$E36)&lt;=$H36),(($I36-$J36)/$H36*AB36),0)</f>
        <v>0</v>
      </c>
      <c r="BB36" s="1">
        <f t="shared" ref="BB36" si="262">IF((($C$7-$E36)&lt;=$H36),(($I36-$J36)/$H36*AC36),0)</f>
        <v>0</v>
      </c>
      <c r="BC36" s="1">
        <f t="shared" ref="BC36" si="263">IF((($C$7-$E36)&lt;=$H36),(($I36-$J36)/$H36*AD36),0)</f>
        <v>0</v>
      </c>
      <c r="BD36" s="1">
        <f t="shared" ref="BD36" si="264">IF((($C$7-$E36)&lt;=$H36),(($I36-$J36)/$H36*AE36),0)</f>
        <v>0</v>
      </c>
      <c r="BE36" s="1">
        <f t="shared" ref="BE36" si="265">IF((($C$7-$E36)&lt;=$H36),(($I36-$J36)/$H36*AF36),0)</f>
        <v>0</v>
      </c>
      <c r="BF36" s="1">
        <f t="shared" ref="BF36" si="266">IF((($C$7-$E36)&lt;=$H36),(($I36-$J36)/$H36*AG36),0)</f>
        <v>0</v>
      </c>
      <c r="BG36" s="1">
        <f t="shared" ref="BG36" si="267">IF((($C$7-$E36)&lt;=$H36),(($I36-$J36)/$H36*AH36),0)</f>
        <v>0</v>
      </c>
      <c r="BH36" s="1">
        <f t="shared" ref="BH36" si="268">IF((($C$7-$E36)&lt;=$H36),(($I36-$J36)/$H36*AI36),0)</f>
        <v>0</v>
      </c>
      <c r="BI36" s="23">
        <f t="shared" ref="BI36" si="269">IF(($C$7-$E36&lt;=$H36),(($I36+$J36)/2*$C$8*L36),0)</f>
        <v>0</v>
      </c>
      <c r="BJ36" s="1">
        <f t="shared" ref="BJ36" si="270">IF(($C$7-$E36&lt;=$H36),(($I36+$J36)/2*$C$8*M36),0)</f>
        <v>0</v>
      </c>
      <c r="BK36" s="1">
        <f t="shared" ref="BK36" si="271">IF(($C$7-$E36&lt;=$H36),(($I36+$J36)/2*$C$8*N36),0)</f>
        <v>0</v>
      </c>
      <c r="BL36" s="1">
        <f t="shared" ref="BL36:BM36" si="272">IF(($C$7-$E36&lt;=$H36),(($I36+$J36)/2*$C$8*O36),0)</f>
        <v>0</v>
      </c>
      <c r="BM36" s="1">
        <f t="shared" si="272"/>
        <v>0</v>
      </c>
      <c r="BN36" s="1">
        <f t="shared" ref="BN36" si="273">IF(($C$7-$E36&lt;=$H36),(($I36+$J36)/2*$C$8*Q36),0)</f>
        <v>0</v>
      </c>
      <c r="BO36" s="1">
        <f t="shared" ref="BO36" si="274">IF(($C$7-$E36&lt;=$H36),(($I36+$J36)/2*$C$8*R36),0)</f>
        <v>0</v>
      </c>
      <c r="BP36" s="1">
        <f t="shared" ref="BP36" si="275">IF(($C$7-$E36&lt;=$H36),(($I36+$J36)/2*$C$8*S36),0)</f>
        <v>0</v>
      </c>
      <c r="BQ36" s="1">
        <f t="shared" ref="BQ36" si="276">IF(($C$7-$E36&lt;=$H36),(($I36+$J36)/2*$C$8*T36),0)</f>
        <v>0</v>
      </c>
      <c r="BR36" s="1">
        <f t="shared" ref="BR36" si="277">IF(($C$7-$E36&lt;=$H36),(($I36+$J36)/2*$C$8*U36),0)</f>
        <v>0</v>
      </c>
      <c r="BS36" s="1">
        <f t="shared" ref="BS36" si="278">IF(($C$7-$E36&lt;=$H36),(($I36+$J36)/2*$C$8*V36),0)</f>
        <v>0</v>
      </c>
      <c r="BT36" s="1">
        <f t="shared" ref="BT36" si="279">IF(($C$7-$E36&lt;=$H36),(($I36+$J36)/2*$C$8*W36),0)</f>
        <v>0</v>
      </c>
      <c r="BU36" s="1">
        <f t="shared" ref="BU36" si="280">IF(($C$7-$E36&lt;=$H36),(($I36+$J36)/2*$C$8*X36),0)</f>
        <v>0</v>
      </c>
      <c r="BV36" s="1">
        <f t="shared" ref="BV36" si="281">IF(($C$7-$E36&lt;=$H36),(($I36+$J36)/2*$C$8*Y36),0)</f>
        <v>0</v>
      </c>
      <c r="BW36" s="1">
        <f t="shared" ref="BW36" si="282">IF(($C$7-$E36&lt;=$H36),(($I36+$J36)/2*$C$8*Z36),0)</f>
        <v>0</v>
      </c>
      <c r="BX36" s="1">
        <f t="shared" ref="BX36" si="283">IF(($C$7-$E36&lt;=$H36),(($I36+$J36)/2*$C$8*AA36),0)</f>
        <v>0</v>
      </c>
      <c r="BY36" s="1">
        <f t="shared" ref="BY36" si="284">IF(($C$7-$E36&lt;=$H36),(($I36+$J36)/2*$C$8*AB36),0)</f>
        <v>0</v>
      </c>
      <c r="BZ36" s="1">
        <f t="shared" ref="BZ36" si="285">IF(($C$7-$E36&lt;=$H36),(($I36+$J36)/2*$C$8*AC36),0)</f>
        <v>0</v>
      </c>
      <c r="CA36" s="1">
        <f t="shared" ref="CA36" si="286">IF(($C$7-$E36&lt;=$H36),(($I36+$J36)/2*$C$8*AD36),0)</f>
        <v>0</v>
      </c>
      <c r="CB36" s="1">
        <f t="shared" ref="CB36" si="287">IF(($C$7-$E36&lt;=$H36),(($I36+$J36)/2*$C$8*AE36),0)</f>
        <v>0</v>
      </c>
      <c r="CC36" s="1">
        <f t="shared" ref="CC36" si="288">IF(($C$7-$E36&lt;=$H36),(($I36+$J36)/2*$C$8*AF36),0)</f>
        <v>0</v>
      </c>
      <c r="CD36" s="1">
        <f t="shared" ref="CD36" si="289">IF(($C$7-$E36&lt;=$H36),(($I36+$J36)/2*$C$8*AG36),0)</f>
        <v>0</v>
      </c>
      <c r="CE36" s="1">
        <f t="shared" ref="CE36" si="290">IF(($C$7-$E36&lt;=$H36),(($I36+$J36)/2*$C$8*AH36),0)</f>
        <v>0</v>
      </c>
      <c r="CF36" s="1">
        <f t="shared" ref="CF36" si="291">IF(($C$7-$E36&lt;=$H36),(($I36+$J36)/2*$C$8*AI36),0)</f>
        <v>0</v>
      </c>
      <c r="CG36" s="23">
        <f t="shared" ref="CG36" si="292">$I36*$K36*L36</f>
        <v>0</v>
      </c>
      <c r="CH36" s="1">
        <f t="shared" ref="CH36" si="293">$I36*$K36*M36</f>
        <v>0</v>
      </c>
      <c r="CI36" s="1">
        <f t="shared" ref="CI36" si="294">$I36*$K36*N36</f>
        <v>0</v>
      </c>
      <c r="CJ36" s="1">
        <f t="shared" ref="CJ36:CK36" si="295">$I36*$K36*O36</f>
        <v>0</v>
      </c>
      <c r="CK36" s="1">
        <f t="shared" si="295"/>
        <v>0</v>
      </c>
      <c r="CL36" s="1">
        <f t="shared" ref="CL36" si="296">$I36*$K36*Q36</f>
        <v>0</v>
      </c>
      <c r="CM36" s="1">
        <f t="shared" ref="CM36" si="297">$I36*$K36*R36</f>
        <v>0</v>
      </c>
      <c r="CN36" s="1">
        <f t="shared" ref="CN36" si="298">$I36*$K36*S36</f>
        <v>0</v>
      </c>
      <c r="CO36" s="1">
        <f t="shared" ref="CO36" si="299">$I36*$K36*T36</f>
        <v>0</v>
      </c>
      <c r="CP36" s="1">
        <f t="shared" ref="CP36" si="300">$I36*$K36*U36</f>
        <v>0</v>
      </c>
      <c r="CQ36" s="1">
        <f t="shared" ref="CQ36" si="301">$I36*$K36*V36</f>
        <v>0</v>
      </c>
      <c r="CR36" s="1">
        <f t="shared" ref="CR36" si="302">$I36*$K36*W36</f>
        <v>0</v>
      </c>
      <c r="CS36" s="1">
        <f t="shared" ref="CS36" si="303">$I36*$K36*X36</f>
        <v>0</v>
      </c>
      <c r="CT36" s="1">
        <f t="shared" ref="CT36" si="304">$I36*$K36*Y36</f>
        <v>0</v>
      </c>
      <c r="CU36" s="1">
        <f t="shared" ref="CU36" si="305">$I36*$K36*Z36</f>
        <v>0</v>
      </c>
      <c r="CV36" s="1">
        <f t="shared" ref="CV36" si="306">$I36*$K36*AA36</f>
        <v>0</v>
      </c>
      <c r="CW36" s="1">
        <f t="shared" ref="CW36" si="307">$I36*$K36*AB36</f>
        <v>0</v>
      </c>
      <c r="CX36" s="1">
        <f t="shared" ref="CX36" si="308">$I36*$K36*AC36</f>
        <v>0</v>
      </c>
      <c r="CY36" s="1" t="e">
        <f t="shared" ref="CY36" si="309">$I36*$K36*AD36</f>
        <v>#DIV/0!</v>
      </c>
      <c r="CZ36" s="1" t="e">
        <f t="shared" ref="CZ36" si="310">$I36*$K36*AE36</f>
        <v>#DIV/0!</v>
      </c>
      <c r="DA36" s="1" t="e">
        <f t="shared" ref="DA36" si="311">$I36*$K36*AF36</f>
        <v>#DIV/0!</v>
      </c>
      <c r="DB36" s="1" t="e">
        <f t="shared" ref="DB36" si="312">$I36*$K36*AG36</f>
        <v>#DIV/0!</v>
      </c>
      <c r="DC36" s="1">
        <f t="shared" ref="DC36" si="313">$I36*$K36*AH36</f>
        <v>0</v>
      </c>
      <c r="DD36" s="1" t="e">
        <f t="shared" ref="DD36" si="314">$I36*$K36*AI36</f>
        <v>#DIV/0!</v>
      </c>
      <c r="DE36" s="23">
        <f t="shared" ref="DE36" si="315">$I36*$C$9*L36</f>
        <v>0</v>
      </c>
      <c r="DF36" s="1">
        <f t="shared" ref="DF36" si="316">$I36*$C$9*M36</f>
        <v>0</v>
      </c>
      <c r="DG36" s="1">
        <f t="shared" ref="DG36" si="317">$I36*$C$9*N36</f>
        <v>0</v>
      </c>
      <c r="DH36" s="1">
        <f t="shared" ref="DH36:DI36" si="318">$I36*$C$9*O36</f>
        <v>0</v>
      </c>
      <c r="DI36" s="1">
        <f t="shared" si="318"/>
        <v>0</v>
      </c>
      <c r="DJ36" s="1">
        <f t="shared" ref="DJ36" si="319">$I36*$C$9*Q36</f>
        <v>0</v>
      </c>
      <c r="DK36" s="1">
        <f t="shared" ref="DK36" si="320">$I36*$C$9*R36</f>
        <v>0</v>
      </c>
      <c r="DL36" s="1">
        <f t="shared" ref="DL36" si="321">$I36*$C$9*S36</f>
        <v>0</v>
      </c>
      <c r="DM36" s="1">
        <f t="shared" ref="DM36" si="322">$I36*$C$9*T36</f>
        <v>0</v>
      </c>
      <c r="DN36" s="1">
        <f t="shared" ref="DN36" si="323">$I36*$C$9*U36</f>
        <v>0</v>
      </c>
      <c r="DO36" s="1">
        <f t="shared" ref="DO36" si="324">$I36*$C$9*V36</f>
        <v>0</v>
      </c>
      <c r="DP36" s="1">
        <f t="shared" ref="DP36" si="325">$I36*$C$9*W36</f>
        <v>0</v>
      </c>
      <c r="DQ36" s="1">
        <f t="shared" ref="DQ36" si="326">$I36*$C$9*X36</f>
        <v>0</v>
      </c>
      <c r="DR36" s="1">
        <f t="shared" ref="DR36" si="327">$I36*$C$9*Y36</f>
        <v>0</v>
      </c>
      <c r="DS36" s="1">
        <f t="shared" ref="DS36" si="328">$I36*$C$9*Z36</f>
        <v>0</v>
      </c>
      <c r="DT36" s="1">
        <f t="shared" ref="DT36" si="329">$I36*$C$9*AA36</f>
        <v>0</v>
      </c>
      <c r="DU36" s="1">
        <f t="shared" ref="DU36" si="330">$I36*$C$9*AB36</f>
        <v>0</v>
      </c>
      <c r="DV36" s="1">
        <f t="shared" ref="DV36" si="331">$I36*$C$9*AC36</f>
        <v>0</v>
      </c>
      <c r="DW36" s="1" t="e">
        <f t="shared" ref="DW36" si="332">$I36*$C$9*AD36</f>
        <v>#DIV/0!</v>
      </c>
      <c r="DX36" s="1" t="e">
        <f t="shared" ref="DX36" si="333">$I36*$C$9*AE36</f>
        <v>#DIV/0!</v>
      </c>
      <c r="DY36" s="1" t="e">
        <f t="shared" ref="DY36" si="334">$I36*$C$9*AF36</f>
        <v>#DIV/0!</v>
      </c>
      <c r="DZ36" s="1" t="e">
        <f t="shared" ref="DZ36" si="335">$I36*$C$9*AG36</f>
        <v>#DIV/0!</v>
      </c>
      <c r="EA36" s="1">
        <f t="shared" ref="EA36" si="336">$I36*$C$9*AH36</f>
        <v>0</v>
      </c>
      <c r="EB36" s="24" t="e">
        <f t="shared" ref="EB36" si="337">$I36*$C$9*AI36</f>
        <v>#DIV/0!</v>
      </c>
    </row>
    <row r="37" spans="2:132" ht="13.8" thickBot="1" x14ac:dyDescent="0.3">
      <c r="B37" s="594" t="str">
        <f>'Gårdens info'!C92</f>
        <v>jordgubbsbom</v>
      </c>
      <c r="C37" s="33"/>
      <c r="D37" s="14"/>
      <c r="E37" s="596">
        <v>2023</v>
      </c>
      <c r="F37" s="14"/>
      <c r="G37" s="14"/>
      <c r="H37" s="417">
        <v>15</v>
      </c>
      <c r="I37">
        <v>22000</v>
      </c>
      <c r="J37" s="417">
        <v>0</v>
      </c>
      <c r="K37" s="418">
        <v>0.03</v>
      </c>
      <c r="L37"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37"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37"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37"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37"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37"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37"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37"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37"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37"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37"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37"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37"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37"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37"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37"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37"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37"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37"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37"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37"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37"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37"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37"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37" s="411">
        <f t="shared" ref="AJ37" si="338">+SUM(L37:AI37)</f>
        <v>1</v>
      </c>
      <c r="AK37" s="1">
        <f t="shared" ref="AK37" si="339">IF((($C$7-$E37)&lt;=$H37),(($I37-$J37)/$H37*L37),0)</f>
        <v>312.05673758865248</v>
      </c>
      <c r="AL37" s="1">
        <f t="shared" ref="AL37" si="340">IF((($C$7-$E37)&lt;=$H37),(($I37-$J37)/$H37*M37),0)</f>
        <v>312.05673758865248</v>
      </c>
      <c r="AM37" s="1">
        <f t="shared" ref="AM37" si="341">IF((($C$7-$E37)&lt;=$H37),(($I37-$J37)/$H37*N37),0)</f>
        <v>312.05673758865248</v>
      </c>
      <c r="AN37" s="1">
        <f t="shared" ref="AN37" si="342">IF((($C$7-$E37)&lt;=$H37),(($I37-$J37)/$H37*O37),0)</f>
        <v>62.411347517730498</v>
      </c>
      <c r="AO37" s="1">
        <f t="shared" ref="AO37" si="343">IF((($C$7-$E37)&lt;=$H37),(($I37-$J37)/$H37*P37),0)</f>
        <v>156.02836879432624</v>
      </c>
      <c r="AP37" s="1">
        <f t="shared" ref="AP37" si="344">IF((($C$7-$E37)&lt;=$H37),(($I37-$J37)/$H37*Q37),0)</f>
        <v>62.411347517730498</v>
      </c>
      <c r="AQ37" s="1">
        <f t="shared" ref="AQ37" si="345">IF((($C$7-$E37)&lt;=$H37),(($I37-$J37)/$H37*R37),0)</f>
        <v>0</v>
      </c>
      <c r="AR37" s="1">
        <f t="shared" ref="AR37" si="346">IF((($C$7-$E37)&lt;=$H37),(($I37-$J37)/$H37*S37),0)</f>
        <v>0</v>
      </c>
      <c r="AS37" s="1">
        <f t="shared" ref="AS37" si="347">IF((($C$7-$E37)&lt;=$H37),(($I37-$J37)/$H37*T37),0)</f>
        <v>0</v>
      </c>
      <c r="AT37" s="1">
        <f t="shared" ref="AT37" si="348">IF((($C$7-$E37)&lt;=$H37),(($I37-$J37)/$H37*U37),0)</f>
        <v>0</v>
      </c>
      <c r="AU37" s="1">
        <f t="shared" ref="AU37" si="349">IF((($C$7-$E37)&lt;=$H37),(($I37-$J37)/$H37*V37),0)</f>
        <v>0</v>
      </c>
      <c r="AV37" s="1">
        <f t="shared" ref="AV37" si="350">IF((($C$7-$E37)&lt;=$H37),(($I37-$J37)/$H37*W37),0)</f>
        <v>93.617021276595736</v>
      </c>
      <c r="AW37" s="1">
        <f t="shared" ref="AW37" si="351">IF((($C$7-$E37)&lt;=$H37),(($I37-$J37)/$H37*X37),0)</f>
        <v>0</v>
      </c>
      <c r="AX37" s="1">
        <f t="shared" ref="AX37" si="352">IF((($C$7-$E37)&lt;=$H37),(($I37-$J37)/$H37*Y37),0)</f>
        <v>0</v>
      </c>
      <c r="AY37" s="1">
        <f t="shared" ref="AY37" si="353">IF((($C$7-$E37)&lt;=$H37),(($I37-$J37)/$H37*Z37),0)</f>
        <v>0</v>
      </c>
      <c r="AZ37" s="1">
        <f t="shared" ref="AZ37" si="354">IF((($C$7-$E37)&lt;=$H37),(($I37-$J37)/$H37*AA37),0)</f>
        <v>0</v>
      </c>
      <c r="BA37" s="1">
        <f t="shared" ref="BA37" si="355">IF((($C$7-$E37)&lt;=$H37),(($I37-$J37)/$H37*AB37),0)</f>
        <v>0</v>
      </c>
      <c r="BB37" s="1">
        <f t="shared" ref="BB37" si="356">IF((($C$7-$E37)&lt;=$H37),(($I37-$J37)/$H37*AC37),0)</f>
        <v>156.02836879432624</v>
      </c>
      <c r="BC37" s="1">
        <f t="shared" ref="BC37" si="357">IF((($C$7-$E37)&lt;=$H37),(($I37-$J37)/$H37*AD37),0)</f>
        <v>0</v>
      </c>
      <c r="BD37" s="1">
        <f t="shared" ref="BD37" si="358">IF((($C$7-$E37)&lt;=$H37),(($I37-$J37)/$H37*AE37),0)</f>
        <v>0</v>
      </c>
      <c r="BE37" s="1">
        <f t="shared" ref="BE37" si="359">IF((($C$7-$E37)&lt;=$H37),(($I37-$J37)/$H37*AF37),0)</f>
        <v>0</v>
      </c>
      <c r="BF37" s="1">
        <f t="shared" ref="BF37" si="360">IF((($C$7-$E37)&lt;=$H37),(($I37-$J37)/$H37*AG37),0)</f>
        <v>0</v>
      </c>
      <c r="BG37" s="1">
        <f t="shared" ref="BG37" si="361">IF((($C$7-$E37)&lt;=$H37),(($I37-$J37)/$H37*AH37),0)</f>
        <v>0</v>
      </c>
      <c r="BH37" s="1">
        <f t="shared" ref="BH37" si="362">IF((($C$7-$E37)&lt;=$H37),(($I37-$J37)/$H37*AI37),0)</f>
        <v>0</v>
      </c>
      <c r="BI37" s="23">
        <f t="shared" ref="BI37" si="363">IF(($C$7-$E37&lt;=$H37),(($I37+$J37)/2*$C$8*L37),0)</f>
        <v>117.02127659574468</v>
      </c>
      <c r="BJ37" s="1">
        <f t="shared" ref="BJ37" si="364">IF(($C$7-$E37&lt;=$H37),(($I37+$J37)/2*$C$8*M37),0)</f>
        <v>117.02127659574468</v>
      </c>
      <c r="BK37" s="1">
        <f t="shared" ref="BK37" si="365">IF(($C$7-$E37&lt;=$H37),(($I37+$J37)/2*$C$8*N37),0)</f>
        <v>117.02127659574468</v>
      </c>
      <c r="BL37" s="1">
        <f t="shared" ref="BL37" si="366">IF(($C$7-$E37&lt;=$H37),(($I37+$J37)/2*$C$8*O37),0)</f>
        <v>23.404255319148934</v>
      </c>
      <c r="BM37" s="1">
        <f t="shared" ref="BM37" si="367">IF(($C$7-$E37&lt;=$H37),(($I37+$J37)/2*$C$8*P37),0)</f>
        <v>58.51063829787234</v>
      </c>
      <c r="BN37" s="1">
        <f t="shared" ref="BN37" si="368">IF(($C$7-$E37&lt;=$H37),(($I37+$J37)/2*$C$8*Q37),0)</f>
        <v>23.404255319148934</v>
      </c>
      <c r="BO37" s="1">
        <f t="shared" ref="BO37" si="369">IF(($C$7-$E37&lt;=$H37),(($I37+$J37)/2*$C$8*R37),0)</f>
        <v>0</v>
      </c>
      <c r="BP37" s="1">
        <f t="shared" ref="BP37" si="370">IF(($C$7-$E37&lt;=$H37),(($I37+$J37)/2*$C$8*S37),0)</f>
        <v>0</v>
      </c>
      <c r="BQ37" s="1">
        <f t="shared" ref="BQ37" si="371">IF(($C$7-$E37&lt;=$H37),(($I37+$J37)/2*$C$8*T37),0)</f>
        <v>0</v>
      </c>
      <c r="BR37" s="1">
        <f t="shared" ref="BR37" si="372">IF(($C$7-$E37&lt;=$H37),(($I37+$J37)/2*$C$8*U37),0)</f>
        <v>0</v>
      </c>
      <c r="BS37" s="1">
        <f t="shared" ref="BS37" si="373">IF(($C$7-$E37&lt;=$H37),(($I37+$J37)/2*$C$8*V37),0)</f>
        <v>0</v>
      </c>
      <c r="BT37" s="1">
        <f t="shared" ref="BT37" si="374">IF(($C$7-$E37&lt;=$H37),(($I37+$J37)/2*$C$8*W37),0)</f>
        <v>35.106382978723403</v>
      </c>
      <c r="BU37" s="1">
        <f t="shared" ref="BU37" si="375">IF(($C$7-$E37&lt;=$H37),(($I37+$J37)/2*$C$8*X37),0)</f>
        <v>0</v>
      </c>
      <c r="BV37" s="1">
        <f t="shared" ref="BV37" si="376">IF(($C$7-$E37&lt;=$H37),(($I37+$J37)/2*$C$8*Y37),0)</f>
        <v>0</v>
      </c>
      <c r="BW37" s="1">
        <f t="shared" ref="BW37" si="377">IF(($C$7-$E37&lt;=$H37),(($I37+$J37)/2*$C$8*Z37),0)</f>
        <v>0</v>
      </c>
      <c r="BX37" s="1">
        <f t="shared" ref="BX37" si="378">IF(($C$7-$E37&lt;=$H37),(($I37+$J37)/2*$C$8*AA37),0)</f>
        <v>0</v>
      </c>
      <c r="BY37" s="1">
        <f t="shared" ref="BY37" si="379">IF(($C$7-$E37&lt;=$H37),(($I37+$J37)/2*$C$8*AB37),0)</f>
        <v>0</v>
      </c>
      <c r="BZ37" s="1">
        <f t="shared" ref="BZ37" si="380">IF(($C$7-$E37&lt;=$H37),(($I37+$J37)/2*$C$8*AC37),0)</f>
        <v>58.51063829787234</v>
      </c>
      <c r="CA37" s="1">
        <f t="shared" ref="CA37" si="381">IF(($C$7-$E37&lt;=$H37),(($I37+$J37)/2*$C$8*AD37),0)</f>
        <v>0</v>
      </c>
      <c r="CB37" s="1">
        <f t="shared" ref="CB37" si="382">IF(($C$7-$E37&lt;=$H37),(($I37+$J37)/2*$C$8*AE37),0)</f>
        <v>0</v>
      </c>
      <c r="CC37" s="1">
        <f t="shared" ref="CC37" si="383">IF(($C$7-$E37&lt;=$H37),(($I37+$J37)/2*$C$8*AF37),0)</f>
        <v>0</v>
      </c>
      <c r="CD37" s="1">
        <f t="shared" ref="CD37" si="384">IF(($C$7-$E37&lt;=$H37),(($I37+$J37)/2*$C$8*AG37),0)</f>
        <v>0</v>
      </c>
      <c r="CE37" s="1">
        <f t="shared" ref="CE37" si="385">IF(($C$7-$E37&lt;=$H37),(($I37+$J37)/2*$C$8*AH37),0)</f>
        <v>0</v>
      </c>
      <c r="CF37" s="1">
        <f t="shared" ref="CF37" si="386">IF(($C$7-$E37&lt;=$H37),(($I37+$J37)/2*$C$8*AI37),0)</f>
        <v>0</v>
      </c>
      <c r="CG37" s="23">
        <f t="shared" ref="CG37" si="387">$I37*$K37*L37</f>
        <v>140.42553191489361</v>
      </c>
      <c r="CH37" s="1">
        <f t="shared" ref="CH37" si="388">$I37*$K37*M37</f>
        <v>140.42553191489361</v>
      </c>
      <c r="CI37" s="1">
        <f t="shared" ref="CI37" si="389">$I37*$K37*N37</f>
        <v>140.42553191489361</v>
      </c>
      <c r="CJ37" s="1">
        <f t="shared" ref="CJ37" si="390">$I37*$K37*O37</f>
        <v>28.085106382978722</v>
      </c>
      <c r="CK37" s="1">
        <f t="shared" ref="CK37" si="391">$I37*$K37*P37</f>
        <v>70.212765957446805</v>
      </c>
      <c r="CL37" s="1">
        <f t="shared" ref="CL37" si="392">$I37*$K37*Q37</f>
        <v>28.085106382978722</v>
      </c>
      <c r="CM37" s="1">
        <f t="shared" ref="CM37" si="393">$I37*$K37*R37</f>
        <v>0</v>
      </c>
      <c r="CN37" s="1">
        <f t="shared" ref="CN37" si="394">$I37*$K37*S37</f>
        <v>0</v>
      </c>
      <c r="CO37" s="1">
        <f t="shared" ref="CO37" si="395">$I37*$K37*T37</f>
        <v>0</v>
      </c>
      <c r="CP37" s="1">
        <f t="shared" ref="CP37" si="396">$I37*$K37*U37</f>
        <v>0</v>
      </c>
      <c r="CQ37" s="1">
        <f t="shared" ref="CQ37" si="397">$I37*$K37*V37</f>
        <v>0</v>
      </c>
      <c r="CR37" s="1">
        <f t="shared" ref="CR37" si="398">$I37*$K37*W37</f>
        <v>42.127659574468083</v>
      </c>
      <c r="CS37" s="1">
        <f t="shared" ref="CS37" si="399">$I37*$K37*X37</f>
        <v>0</v>
      </c>
      <c r="CT37" s="1">
        <f t="shared" ref="CT37" si="400">$I37*$K37*Y37</f>
        <v>0</v>
      </c>
      <c r="CU37" s="1">
        <f t="shared" ref="CU37" si="401">$I37*$K37*Z37</f>
        <v>0</v>
      </c>
      <c r="CV37" s="1">
        <f t="shared" ref="CV37" si="402">$I37*$K37*AA37</f>
        <v>0</v>
      </c>
      <c r="CW37" s="1">
        <f t="shared" ref="CW37" si="403">$I37*$K37*AB37</f>
        <v>0</v>
      </c>
      <c r="CX37" s="1">
        <f t="shared" ref="CX37" si="404">$I37*$K37*AC37</f>
        <v>70.212765957446805</v>
      </c>
      <c r="CY37" s="1">
        <f t="shared" ref="CY37" si="405">$I37*$K37*AD37</f>
        <v>0</v>
      </c>
      <c r="CZ37" s="1">
        <f t="shared" ref="CZ37" si="406">$I37*$K37*AE37</f>
        <v>0</v>
      </c>
      <c r="DA37" s="1">
        <f t="shared" ref="DA37" si="407">$I37*$K37*AF37</f>
        <v>0</v>
      </c>
      <c r="DB37" s="1">
        <f t="shared" ref="DB37" si="408">$I37*$K37*AG37</f>
        <v>0</v>
      </c>
      <c r="DC37" s="1">
        <f t="shared" ref="DC37" si="409">$I37*$K37*AH37</f>
        <v>0</v>
      </c>
      <c r="DD37" s="1">
        <f t="shared" ref="DD37" si="410">$I37*$K37*AI37</f>
        <v>0</v>
      </c>
      <c r="DE37" s="23">
        <f t="shared" ref="DE37" si="411">$I37*$C$9*L37</f>
        <v>9.3617021276595747</v>
      </c>
      <c r="DF37" s="1">
        <f t="shared" ref="DF37" si="412">$I37*$C$9*M37</f>
        <v>9.3617021276595747</v>
      </c>
      <c r="DG37" s="1">
        <f t="shared" ref="DG37" si="413">$I37*$C$9*N37</f>
        <v>9.3617021276595747</v>
      </c>
      <c r="DH37" s="1">
        <f t="shared" ref="DH37" si="414">$I37*$C$9*O37</f>
        <v>1.8723404255319149</v>
      </c>
      <c r="DI37" s="1">
        <f t="shared" ref="DI37" si="415">$I37*$C$9*P37</f>
        <v>4.6808510638297873</v>
      </c>
      <c r="DJ37" s="1">
        <f t="shared" ref="DJ37" si="416">$I37*$C$9*Q37</f>
        <v>1.8723404255319149</v>
      </c>
      <c r="DK37" s="1">
        <f t="shared" ref="DK37" si="417">$I37*$C$9*R37</f>
        <v>0</v>
      </c>
      <c r="DL37" s="1">
        <f t="shared" ref="DL37" si="418">$I37*$C$9*S37</f>
        <v>0</v>
      </c>
      <c r="DM37" s="1">
        <f t="shared" ref="DM37" si="419">$I37*$C$9*T37</f>
        <v>0</v>
      </c>
      <c r="DN37" s="1">
        <f t="shared" ref="DN37" si="420">$I37*$C$9*U37</f>
        <v>0</v>
      </c>
      <c r="DO37" s="1">
        <f t="shared" ref="DO37" si="421">$I37*$C$9*V37</f>
        <v>0</v>
      </c>
      <c r="DP37" s="1">
        <f t="shared" ref="DP37" si="422">$I37*$C$9*W37</f>
        <v>2.808510638297872</v>
      </c>
      <c r="DQ37" s="1">
        <f t="shared" ref="DQ37" si="423">$I37*$C$9*X37</f>
        <v>0</v>
      </c>
      <c r="DR37" s="1">
        <f t="shared" ref="DR37" si="424">$I37*$C$9*Y37</f>
        <v>0</v>
      </c>
      <c r="DS37" s="1">
        <f t="shared" ref="DS37" si="425">$I37*$C$9*Z37</f>
        <v>0</v>
      </c>
      <c r="DT37" s="1">
        <f t="shared" ref="DT37" si="426">$I37*$C$9*AA37</f>
        <v>0</v>
      </c>
      <c r="DU37" s="1">
        <f t="shared" ref="DU37" si="427">$I37*$C$9*AB37</f>
        <v>0</v>
      </c>
      <c r="DV37" s="1">
        <f t="shared" ref="DV37" si="428">$I37*$C$9*AC37</f>
        <v>4.6808510638297873</v>
      </c>
      <c r="DW37" s="1">
        <f t="shared" ref="DW37" si="429">$I37*$C$9*AD37</f>
        <v>0</v>
      </c>
      <c r="DX37" s="1">
        <f t="shared" ref="DX37" si="430">$I37*$C$9*AE37</f>
        <v>0</v>
      </c>
      <c r="DY37" s="1">
        <f t="shared" ref="DY37" si="431">$I37*$C$9*AF37</f>
        <v>0</v>
      </c>
      <c r="DZ37" s="1">
        <f t="shared" ref="DZ37" si="432">$I37*$C$9*AG37</f>
        <v>0</v>
      </c>
      <c r="EA37" s="1">
        <f t="shared" ref="EA37" si="433">$I37*$C$9*AH37</f>
        <v>0</v>
      </c>
      <c r="EB37" s="24">
        <f t="shared" ref="EB37" si="434">$I37*$C$9*AI37</f>
        <v>0</v>
      </c>
    </row>
    <row r="38" spans="2:132" s="594" customFormat="1" ht="13.8" thickBot="1" x14ac:dyDescent="0.3">
      <c r="B38" s="594" t="str">
        <f>'Gårdens info'!C93</f>
        <v>borstmaskin</v>
      </c>
      <c r="C38" s="596"/>
      <c r="E38" s="596">
        <v>2021</v>
      </c>
      <c r="H38" s="597">
        <v>15</v>
      </c>
      <c r="I38" s="594">
        <f>'Gårdens info'!D91</f>
        <v>1700</v>
      </c>
      <c r="J38" s="597">
        <f t="shared" si="155"/>
        <v>0</v>
      </c>
      <c r="K38" s="598">
        <v>0.03</v>
      </c>
      <c r="L38" s="599">
        <v>0</v>
      </c>
      <c r="M38" s="600">
        <v>0</v>
      </c>
      <c r="N38" s="600">
        <v>0</v>
      </c>
      <c r="O38" s="600">
        <v>0</v>
      </c>
      <c r="P38" s="600">
        <v>0</v>
      </c>
      <c r="Q38" s="600">
        <v>0</v>
      </c>
      <c r="R38" s="600">
        <v>0</v>
      </c>
      <c r="S38" s="600">
        <v>0</v>
      </c>
      <c r="T38" s="600">
        <v>0</v>
      </c>
      <c r="U38" s="600">
        <v>0</v>
      </c>
      <c r="V38" s="600">
        <v>0</v>
      </c>
      <c r="W38" s="600">
        <v>0.28999999999999998</v>
      </c>
      <c r="X38" s="600">
        <v>0.71</v>
      </c>
      <c r="Y38" s="600">
        <v>0</v>
      </c>
      <c r="Z38" s="600">
        <v>0</v>
      </c>
      <c r="AA38" s="600">
        <v>0</v>
      </c>
      <c r="AB38" s="600">
        <v>0</v>
      </c>
      <c r="AC38" s="600">
        <v>0</v>
      </c>
      <c r="AD38" s="600">
        <v>0</v>
      </c>
      <c r="AE38" s="600">
        <v>0</v>
      </c>
      <c r="AF38" s="600">
        <v>0</v>
      </c>
      <c r="AG38" s="600">
        <v>0</v>
      </c>
      <c r="AH38" s="600">
        <v>0</v>
      </c>
      <c r="AI38" s="600">
        <v>0</v>
      </c>
      <c r="AJ38" s="601">
        <f>+SUM(L38:AI38)</f>
        <v>1</v>
      </c>
      <c r="AK38" s="596">
        <f>IF((($C$7-$E38)&lt;=$H38),(($I38-$J38)/$H38*L38),0)</f>
        <v>0</v>
      </c>
      <c r="AL38" s="596">
        <f>IF((($C$7-$E38)&lt;=$H38),(($I38-$J38)/$H38*M38),0)</f>
        <v>0</v>
      </c>
      <c r="AM38" s="596">
        <f>IF((($C$7-$E38)&lt;=$H38),(($I38-$J38)/$H38*N38),0)</f>
        <v>0</v>
      </c>
      <c r="AN38" s="596">
        <f t="shared" si="159"/>
        <v>0</v>
      </c>
      <c r="AO38" s="596">
        <f t="shared" si="159"/>
        <v>0</v>
      </c>
      <c r="AP38" s="596">
        <f t="shared" si="160"/>
        <v>0</v>
      </c>
      <c r="AQ38" s="596">
        <f t="shared" si="161"/>
        <v>0</v>
      </c>
      <c r="AR38" s="596">
        <f t="shared" si="162"/>
        <v>0</v>
      </c>
      <c r="AS38" s="596">
        <f t="shared" si="163"/>
        <v>0</v>
      </c>
      <c r="AT38" s="596">
        <f t="shared" si="164"/>
        <v>0</v>
      </c>
      <c r="AU38" s="596">
        <f t="shared" si="165"/>
        <v>0</v>
      </c>
      <c r="AV38" s="596">
        <f>IF((($C$7-$E38)&lt;=$H38),(($I38-$J38)/$H38*W38),0)</f>
        <v>32.86666666666666</v>
      </c>
      <c r="AW38" s="596">
        <f t="shared" si="167"/>
        <v>80.466666666666654</v>
      </c>
      <c r="AX38" s="596">
        <f t="shared" si="168"/>
        <v>0</v>
      </c>
      <c r="AY38" s="596">
        <f t="shared" si="169"/>
        <v>0</v>
      </c>
      <c r="AZ38" s="596">
        <f t="shared" si="170"/>
        <v>0</v>
      </c>
      <c r="BA38" s="596">
        <f t="shared" si="171"/>
        <v>0</v>
      </c>
      <c r="BB38" s="596">
        <f t="shared" si="172"/>
        <v>0</v>
      </c>
      <c r="BC38" s="596">
        <f t="shared" si="173"/>
        <v>0</v>
      </c>
      <c r="BD38" s="596">
        <f t="shared" si="174"/>
        <v>0</v>
      </c>
      <c r="BE38" s="596">
        <f t="shared" si="175"/>
        <v>0</v>
      </c>
      <c r="BF38" s="596">
        <f t="shared" si="176"/>
        <v>0</v>
      </c>
      <c r="BG38" s="596">
        <f t="shared" si="177"/>
        <v>0</v>
      </c>
      <c r="BH38" s="596">
        <f t="shared" si="178"/>
        <v>0</v>
      </c>
      <c r="BI38" s="602">
        <f>IF(($C$7-$E38&lt;=$H38),(($I38+$J38)/2*$C$8*L38),0)</f>
        <v>0</v>
      </c>
      <c r="BJ38" s="596">
        <f>IF(($C$7-$E38&lt;=$H38),(($I38+$J38)/2*$C$8*M38),0)</f>
        <v>0</v>
      </c>
      <c r="BK38" s="596">
        <f>IF(($C$7-$E38&lt;=$H38),(($I38+$J38)/2*$C$8*N38),0)</f>
        <v>0</v>
      </c>
      <c r="BL38" s="596">
        <f t="shared" si="181"/>
        <v>0</v>
      </c>
      <c r="BM38" s="596">
        <f t="shared" si="181"/>
        <v>0</v>
      </c>
      <c r="BN38" s="596">
        <f t="shared" si="182"/>
        <v>0</v>
      </c>
      <c r="BO38" s="596">
        <f t="shared" si="183"/>
        <v>0</v>
      </c>
      <c r="BP38" s="596">
        <f t="shared" si="184"/>
        <v>0</v>
      </c>
      <c r="BQ38" s="596">
        <f t="shared" si="185"/>
        <v>0</v>
      </c>
      <c r="BR38" s="596">
        <f t="shared" si="186"/>
        <v>0</v>
      </c>
      <c r="BS38" s="596">
        <f t="shared" si="187"/>
        <v>0</v>
      </c>
      <c r="BT38" s="596">
        <f>IF(($C$7-$E38&lt;=$H38),(($I38+$J38)/2*$C$8*W38),0)</f>
        <v>12.324999999999999</v>
      </c>
      <c r="BU38" s="596">
        <f t="shared" si="189"/>
        <v>30.174999999999997</v>
      </c>
      <c r="BV38" s="596">
        <f t="shared" si="190"/>
        <v>0</v>
      </c>
      <c r="BW38" s="596">
        <f t="shared" si="191"/>
        <v>0</v>
      </c>
      <c r="BX38" s="596">
        <f t="shared" si="192"/>
        <v>0</v>
      </c>
      <c r="BY38" s="596">
        <f t="shared" si="193"/>
        <v>0</v>
      </c>
      <c r="BZ38" s="596">
        <f t="shared" si="194"/>
        <v>0</v>
      </c>
      <c r="CA38" s="596">
        <f t="shared" si="195"/>
        <v>0</v>
      </c>
      <c r="CB38" s="596">
        <f t="shared" si="196"/>
        <v>0</v>
      </c>
      <c r="CC38" s="596">
        <f t="shared" si="197"/>
        <v>0</v>
      </c>
      <c r="CD38" s="596">
        <f t="shared" si="198"/>
        <v>0</v>
      </c>
      <c r="CE38" s="596">
        <f t="shared" si="199"/>
        <v>0</v>
      </c>
      <c r="CF38" s="596">
        <f t="shared" si="200"/>
        <v>0</v>
      </c>
      <c r="CG38" s="602">
        <f>$I38*$K38*L38</f>
        <v>0</v>
      </c>
      <c r="CH38" s="596">
        <f>$I38*$K38*M38</f>
        <v>0</v>
      </c>
      <c r="CI38" s="596">
        <f>$I38*$K38*N38</f>
        <v>0</v>
      </c>
      <c r="CJ38" s="596">
        <f t="shared" si="203"/>
        <v>0</v>
      </c>
      <c r="CK38" s="596">
        <f t="shared" si="203"/>
        <v>0</v>
      </c>
      <c r="CL38" s="596">
        <f t="shared" si="204"/>
        <v>0</v>
      </c>
      <c r="CM38" s="596">
        <f t="shared" si="205"/>
        <v>0</v>
      </c>
      <c r="CN38" s="596">
        <f t="shared" si="206"/>
        <v>0</v>
      </c>
      <c r="CO38" s="596">
        <f t="shared" si="207"/>
        <v>0</v>
      </c>
      <c r="CP38" s="596">
        <f t="shared" si="208"/>
        <v>0</v>
      </c>
      <c r="CQ38" s="596">
        <f t="shared" si="209"/>
        <v>0</v>
      </c>
      <c r="CR38" s="596">
        <f>$I38*$K38*W38</f>
        <v>14.79</v>
      </c>
      <c r="CS38" s="596">
        <f t="shared" si="211"/>
        <v>36.21</v>
      </c>
      <c r="CT38" s="596">
        <f t="shared" si="212"/>
        <v>0</v>
      </c>
      <c r="CU38" s="596">
        <f t="shared" si="213"/>
        <v>0</v>
      </c>
      <c r="CV38" s="596">
        <f t="shared" si="214"/>
        <v>0</v>
      </c>
      <c r="CW38" s="596">
        <f t="shared" si="215"/>
        <v>0</v>
      </c>
      <c r="CX38" s="596">
        <f t="shared" si="216"/>
        <v>0</v>
      </c>
      <c r="CY38" s="596">
        <f t="shared" si="217"/>
        <v>0</v>
      </c>
      <c r="CZ38" s="596">
        <f t="shared" si="218"/>
        <v>0</v>
      </c>
      <c r="DA38" s="596">
        <f t="shared" si="219"/>
        <v>0</v>
      </c>
      <c r="DB38" s="596">
        <f t="shared" si="220"/>
        <v>0</v>
      </c>
      <c r="DC38" s="596">
        <f t="shared" si="221"/>
        <v>0</v>
      </c>
      <c r="DD38" s="596">
        <f t="shared" si="222"/>
        <v>0</v>
      </c>
      <c r="DE38" s="602">
        <f>$I38*$C$9*L38</f>
        <v>0</v>
      </c>
      <c r="DF38" s="596">
        <f>$I38*$C$9*M38</f>
        <v>0</v>
      </c>
      <c r="DG38" s="596">
        <f>$I38*$C$9*N38</f>
        <v>0</v>
      </c>
      <c r="DH38" s="596">
        <f t="shared" si="225"/>
        <v>0</v>
      </c>
      <c r="DI38" s="596">
        <f t="shared" si="225"/>
        <v>0</v>
      </c>
      <c r="DJ38" s="596">
        <f t="shared" si="226"/>
        <v>0</v>
      </c>
      <c r="DK38" s="596">
        <f t="shared" si="227"/>
        <v>0</v>
      </c>
      <c r="DL38" s="596">
        <f t="shared" si="228"/>
        <v>0</v>
      </c>
      <c r="DM38" s="596">
        <f t="shared" si="229"/>
        <v>0</v>
      </c>
      <c r="DN38" s="596">
        <f t="shared" si="230"/>
        <v>0</v>
      </c>
      <c r="DO38" s="596">
        <f t="shared" si="231"/>
        <v>0</v>
      </c>
      <c r="DP38" s="596">
        <f>$I38*$C$9*W38</f>
        <v>0.98599999999999988</v>
      </c>
      <c r="DQ38" s="596">
        <f t="shared" si="233"/>
        <v>2.4139999999999997</v>
      </c>
      <c r="DR38" s="596">
        <f t="shared" si="234"/>
        <v>0</v>
      </c>
      <c r="DS38" s="596">
        <f t="shared" si="235"/>
        <v>0</v>
      </c>
      <c r="DT38" s="596">
        <f t="shared" si="236"/>
        <v>0</v>
      </c>
      <c r="DU38" s="596">
        <f t="shared" si="237"/>
        <v>0</v>
      </c>
      <c r="DV38" s="596">
        <f t="shared" si="238"/>
        <v>0</v>
      </c>
      <c r="DW38" s="596">
        <f t="shared" si="239"/>
        <v>0</v>
      </c>
      <c r="DX38" s="596">
        <f t="shared" si="240"/>
        <v>0</v>
      </c>
      <c r="DY38" s="596">
        <f t="shared" si="241"/>
        <v>0</v>
      </c>
      <c r="DZ38" s="596">
        <f t="shared" si="242"/>
        <v>0</v>
      </c>
      <c r="EA38" s="596">
        <f t="shared" si="243"/>
        <v>0</v>
      </c>
      <c r="EB38" s="603">
        <f t="shared" si="244"/>
        <v>0</v>
      </c>
    </row>
    <row r="39" spans="2:132" s="594" customFormat="1" ht="13.8" thickBot="1" x14ac:dyDescent="0.3">
      <c r="B39" s="594" t="str">
        <f>'Gårdens info'!C94</f>
        <v>precisionssåmaskin</v>
      </c>
      <c r="C39" s="596"/>
      <c r="E39" s="596">
        <f>'Gårdens info'!J92</f>
        <v>2024</v>
      </c>
      <c r="H39" s="597">
        <v>15</v>
      </c>
      <c r="I39" s="594">
        <f>'Gårdens info'!D92</f>
        <v>500</v>
      </c>
      <c r="J39" s="597">
        <f t="shared" si="155"/>
        <v>0</v>
      </c>
      <c r="K39" s="598">
        <v>0.03</v>
      </c>
      <c r="L39" s="599">
        <v>0</v>
      </c>
      <c r="M39" s="600">
        <v>0</v>
      </c>
      <c r="N39" s="600">
        <v>0</v>
      </c>
      <c r="O39" s="600">
        <v>0</v>
      </c>
      <c r="P39" s="600">
        <v>0</v>
      </c>
      <c r="Q39" s="600">
        <v>0</v>
      </c>
      <c r="R39" s="600">
        <v>0</v>
      </c>
      <c r="S39" s="600">
        <v>0</v>
      </c>
      <c r="T39" s="600">
        <v>0</v>
      </c>
      <c r="U39" s="600">
        <v>0</v>
      </c>
      <c r="V39" s="600">
        <v>0</v>
      </c>
      <c r="W39" s="600">
        <v>1</v>
      </c>
      <c r="X39" s="600">
        <v>0</v>
      </c>
      <c r="Y39" s="600">
        <v>0</v>
      </c>
      <c r="Z39" s="600">
        <v>0</v>
      </c>
      <c r="AA39" s="600">
        <v>0</v>
      </c>
      <c r="AB39" s="600">
        <v>0</v>
      </c>
      <c r="AC39" s="600">
        <v>0</v>
      </c>
      <c r="AD39" s="600">
        <v>0</v>
      </c>
      <c r="AE39" s="600">
        <v>0</v>
      </c>
      <c r="AF39" s="600">
        <v>0</v>
      </c>
      <c r="AG39" s="600">
        <v>0</v>
      </c>
      <c r="AH39" s="600">
        <v>0</v>
      </c>
      <c r="AI39" s="600">
        <v>0</v>
      </c>
      <c r="AJ39" s="601">
        <f t="shared" si="156"/>
        <v>1</v>
      </c>
      <c r="AK39" s="596">
        <f t="shared" si="157"/>
        <v>0</v>
      </c>
      <c r="AL39" s="596">
        <f t="shared" ref="AL39:AL50" si="435">IF((($C$7-$E39)&lt;=$H39),(($I39-$J39)/$H39*M39),0)</f>
        <v>0</v>
      </c>
      <c r="AM39" s="596">
        <f t="shared" ref="AM39:AM50" si="436">IF((($C$7-$E39)&lt;=$H39),(($I39-$J39)/$H39*N39),0)</f>
        <v>0</v>
      </c>
      <c r="AN39" s="596">
        <f t="shared" si="159"/>
        <v>0</v>
      </c>
      <c r="AO39" s="596">
        <f t="shared" si="159"/>
        <v>0</v>
      </c>
      <c r="AP39" s="596">
        <f t="shared" si="160"/>
        <v>0</v>
      </c>
      <c r="AQ39" s="596">
        <f t="shared" si="161"/>
        <v>0</v>
      </c>
      <c r="AR39" s="596">
        <f t="shared" si="162"/>
        <v>0</v>
      </c>
      <c r="AS39" s="596">
        <f t="shared" si="163"/>
        <v>0</v>
      </c>
      <c r="AT39" s="596">
        <f t="shared" si="164"/>
        <v>0</v>
      </c>
      <c r="AU39" s="596">
        <f t="shared" si="165"/>
        <v>0</v>
      </c>
      <c r="AV39" s="596">
        <f t="shared" si="166"/>
        <v>33.333333333333336</v>
      </c>
      <c r="AW39" s="596">
        <f t="shared" si="167"/>
        <v>0</v>
      </c>
      <c r="AX39" s="596">
        <f t="shared" si="168"/>
        <v>0</v>
      </c>
      <c r="AY39" s="596">
        <f t="shared" si="169"/>
        <v>0</v>
      </c>
      <c r="AZ39" s="596">
        <f t="shared" si="170"/>
        <v>0</v>
      </c>
      <c r="BA39" s="596">
        <f t="shared" si="171"/>
        <v>0</v>
      </c>
      <c r="BB39" s="596">
        <f t="shared" si="172"/>
        <v>0</v>
      </c>
      <c r="BC39" s="596">
        <f t="shared" si="173"/>
        <v>0</v>
      </c>
      <c r="BD39" s="596">
        <f t="shared" si="174"/>
        <v>0</v>
      </c>
      <c r="BE39" s="596">
        <f t="shared" si="175"/>
        <v>0</v>
      </c>
      <c r="BF39" s="596">
        <f t="shared" si="176"/>
        <v>0</v>
      </c>
      <c r="BG39" s="596">
        <f t="shared" si="177"/>
        <v>0</v>
      </c>
      <c r="BH39" s="596">
        <f t="shared" si="178"/>
        <v>0</v>
      </c>
      <c r="BI39" s="602">
        <f t="shared" si="179"/>
        <v>0</v>
      </c>
      <c r="BJ39" s="596">
        <f t="shared" ref="BJ39:BJ60" si="437">IF(($C$7-$E39&lt;=$H39),(($I39+$J39)/2*$C$8*M39),0)</f>
        <v>0</v>
      </c>
      <c r="BK39" s="596">
        <f t="shared" ref="BK39:BK60" si="438">IF(($C$7-$E39&lt;=$H39),(($I39+$J39)/2*$C$8*N39),0)</f>
        <v>0</v>
      </c>
      <c r="BL39" s="596">
        <f t="shared" si="181"/>
        <v>0</v>
      </c>
      <c r="BM39" s="596">
        <f t="shared" si="181"/>
        <v>0</v>
      </c>
      <c r="BN39" s="596">
        <f t="shared" si="182"/>
        <v>0</v>
      </c>
      <c r="BO39" s="596">
        <f t="shared" si="183"/>
        <v>0</v>
      </c>
      <c r="BP39" s="596">
        <f t="shared" si="184"/>
        <v>0</v>
      </c>
      <c r="BQ39" s="596">
        <f t="shared" si="185"/>
        <v>0</v>
      </c>
      <c r="BR39" s="596">
        <f t="shared" si="186"/>
        <v>0</v>
      </c>
      <c r="BS39" s="596">
        <f t="shared" si="187"/>
        <v>0</v>
      </c>
      <c r="BT39" s="596">
        <f t="shared" si="188"/>
        <v>12.5</v>
      </c>
      <c r="BU39" s="596">
        <f t="shared" si="189"/>
        <v>0</v>
      </c>
      <c r="BV39" s="596">
        <f t="shared" si="190"/>
        <v>0</v>
      </c>
      <c r="BW39" s="596">
        <f t="shared" si="191"/>
        <v>0</v>
      </c>
      <c r="BX39" s="596">
        <f t="shared" si="192"/>
        <v>0</v>
      </c>
      <c r="BY39" s="596">
        <f t="shared" si="193"/>
        <v>0</v>
      </c>
      <c r="BZ39" s="596">
        <f t="shared" si="194"/>
        <v>0</v>
      </c>
      <c r="CA39" s="596">
        <f t="shared" si="195"/>
        <v>0</v>
      </c>
      <c r="CB39" s="596">
        <f t="shared" si="196"/>
        <v>0</v>
      </c>
      <c r="CC39" s="596">
        <f t="shared" si="197"/>
        <v>0</v>
      </c>
      <c r="CD39" s="596">
        <f t="shared" si="198"/>
        <v>0</v>
      </c>
      <c r="CE39" s="596">
        <f t="shared" si="199"/>
        <v>0</v>
      </c>
      <c r="CF39" s="596">
        <f t="shared" si="200"/>
        <v>0</v>
      </c>
      <c r="CG39" s="602">
        <f t="shared" si="201"/>
        <v>0</v>
      </c>
      <c r="CH39" s="596">
        <f t="shared" ref="CH39:CH60" si="439">$I39*$K39*M39</f>
        <v>0</v>
      </c>
      <c r="CI39" s="596">
        <f t="shared" ref="CI39:CI60" si="440">$I39*$K39*N39</f>
        <v>0</v>
      </c>
      <c r="CJ39" s="596">
        <f t="shared" si="203"/>
        <v>0</v>
      </c>
      <c r="CK39" s="596">
        <f t="shared" si="203"/>
        <v>0</v>
      </c>
      <c r="CL39" s="596">
        <f t="shared" si="204"/>
        <v>0</v>
      </c>
      <c r="CM39" s="596">
        <f t="shared" si="205"/>
        <v>0</v>
      </c>
      <c r="CN39" s="596">
        <f t="shared" si="206"/>
        <v>0</v>
      </c>
      <c r="CO39" s="596">
        <f t="shared" si="207"/>
        <v>0</v>
      </c>
      <c r="CP39" s="596">
        <f t="shared" si="208"/>
        <v>0</v>
      </c>
      <c r="CQ39" s="596">
        <f t="shared" si="209"/>
        <v>0</v>
      </c>
      <c r="CR39" s="596">
        <f t="shared" si="210"/>
        <v>15</v>
      </c>
      <c r="CS39" s="596">
        <f t="shared" si="211"/>
        <v>0</v>
      </c>
      <c r="CT39" s="596">
        <f t="shared" si="212"/>
        <v>0</v>
      </c>
      <c r="CU39" s="596">
        <f t="shared" si="213"/>
        <v>0</v>
      </c>
      <c r="CV39" s="596">
        <f t="shared" si="214"/>
        <v>0</v>
      </c>
      <c r="CW39" s="596">
        <f t="shared" si="215"/>
        <v>0</v>
      </c>
      <c r="CX39" s="596">
        <f t="shared" si="216"/>
        <v>0</v>
      </c>
      <c r="CY39" s="596">
        <f t="shared" si="217"/>
        <v>0</v>
      </c>
      <c r="CZ39" s="596">
        <f t="shared" si="218"/>
        <v>0</v>
      </c>
      <c r="DA39" s="596">
        <f t="shared" si="219"/>
        <v>0</v>
      </c>
      <c r="DB39" s="596">
        <f t="shared" si="220"/>
        <v>0</v>
      </c>
      <c r="DC39" s="596">
        <f t="shared" si="221"/>
        <v>0</v>
      </c>
      <c r="DD39" s="596">
        <f t="shared" si="222"/>
        <v>0</v>
      </c>
      <c r="DE39" s="602">
        <f t="shared" si="223"/>
        <v>0</v>
      </c>
      <c r="DF39" s="596">
        <f t="shared" ref="DF39:DF60" si="441">$I39*$C$9*M39</f>
        <v>0</v>
      </c>
      <c r="DG39" s="596">
        <f t="shared" ref="DG39:DG60" si="442">$I39*$C$9*N39</f>
        <v>0</v>
      </c>
      <c r="DH39" s="596">
        <f t="shared" si="225"/>
        <v>0</v>
      </c>
      <c r="DI39" s="596">
        <f t="shared" si="225"/>
        <v>0</v>
      </c>
      <c r="DJ39" s="596">
        <f t="shared" si="226"/>
        <v>0</v>
      </c>
      <c r="DK39" s="596">
        <f t="shared" si="227"/>
        <v>0</v>
      </c>
      <c r="DL39" s="596">
        <f t="shared" si="228"/>
        <v>0</v>
      </c>
      <c r="DM39" s="596">
        <f t="shared" si="229"/>
        <v>0</v>
      </c>
      <c r="DN39" s="596">
        <f t="shared" si="230"/>
        <v>0</v>
      </c>
      <c r="DO39" s="596">
        <f t="shared" si="231"/>
        <v>0</v>
      </c>
      <c r="DP39" s="596">
        <f t="shared" si="232"/>
        <v>1</v>
      </c>
      <c r="DQ39" s="596">
        <f t="shared" si="233"/>
        <v>0</v>
      </c>
      <c r="DR39" s="596">
        <f t="shared" si="234"/>
        <v>0</v>
      </c>
      <c r="DS39" s="596">
        <f t="shared" si="235"/>
        <v>0</v>
      </c>
      <c r="DT39" s="596">
        <f t="shared" si="236"/>
        <v>0</v>
      </c>
      <c r="DU39" s="596">
        <f t="shared" si="237"/>
        <v>0</v>
      </c>
      <c r="DV39" s="596">
        <f t="shared" si="238"/>
        <v>0</v>
      </c>
      <c r="DW39" s="596">
        <f t="shared" si="239"/>
        <v>0</v>
      </c>
      <c r="DX39" s="596">
        <f t="shared" si="240"/>
        <v>0</v>
      </c>
      <c r="DY39" s="596">
        <f t="shared" si="241"/>
        <v>0</v>
      </c>
      <c r="DZ39" s="596">
        <f t="shared" si="242"/>
        <v>0</v>
      </c>
      <c r="EA39" s="596">
        <f t="shared" si="243"/>
        <v>0</v>
      </c>
      <c r="EB39" s="603">
        <f t="shared" si="244"/>
        <v>0</v>
      </c>
    </row>
    <row r="40" spans="2:132" s="594" customFormat="1" ht="13.8" thickBot="1" x14ac:dyDescent="0.3">
      <c r="B40" s="594" t="str">
        <f>'Gårdens info'!C95</f>
        <v>planteringsmaskin</v>
      </c>
      <c r="C40" s="596"/>
      <c r="E40" s="596">
        <f>'Gårdens info'!J93</f>
        <v>2024</v>
      </c>
      <c r="H40" s="597">
        <v>15</v>
      </c>
      <c r="I40" s="594">
        <f>'Gårdens info'!D93</f>
        <v>1000</v>
      </c>
      <c r="J40" s="597">
        <f t="shared" si="155"/>
        <v>0</v>
      </c>
      <c r="K40" s="598">
        <v>0.03</v>
      </c>
      <c r="L40" s="599">
        <v>0</v>
      </c>
      <c r="M40" s="600">
        <v>0</v>
      </c>
      <c r="N40" s="600">
        <v>0</v>
      </c>
      <c r="O40" s="600">
        <v>0</v>
      </c>
      <c r="P40" s="600">
        <v>0</v>
      </c>
      <c r="Q40" s="600">
        <v>0</v>
      </c>
      <c r="R40" s="600">
        <v>0</v>
      </c>
      <c r="S40" s="600">
        <v>0</v>
      </c>
      <c r="T40" s="600">
        <v>0</v>
      </c>
      <c r="U40" s="600">
        <v>0</v>
      </c>
      <c r="V40" s="600">
        <v>0</v>
      </c>
      <c r="W40" s="600">
        <v>1</v>
      </c>
      <c r="X40" s="600">
        <v>0</v>
      </c>
      <c r="Y40" s="600">
        <v>0</v>
      </c>
      <c r="Z40" s="600">
        <v>0</v>
      </c>
      <c r="AA40" s="600">
        <v>0</v>
      </c>
      <c r="AB40" s="600">
        <v>0</v>
      </c>
      <c r="AC40" s="600">
        <v>0</v>
      </c>
      <c r="AD40" s="600">
        <v>0</v>
      </c>
      <c r="AE40" s="600">
        <v>0</v>
      </c>
      <c r="AF40" s="600">
        <v>0</v>
      </c>
      <c r="AG40" s="600">
        <v>0</v>
      </c>
      <c r="AH40" s="600">
        <v>0</v>
      </c>
      <c r="AI40" s="600">
        <v>0</v>
      </c>
      <c r="AJ40" s="601">
        <f t="shared" si="156"/>
        <v>1</v>
      </c>
      <c r="AK40" s="596">
        <f t="shared" si="157"/>
        <v>0</v>
      </c>
      <c r="AL40" s="596">
        <f t="shared" si="435"/>
        <v>0</v>
      </c>
      <c r="AM40" s="596">
        <f t="shared" si="436"/>
        <v>0</v>
      </c>
      <c r="AN40" s="596">
        <f t="shared" si="159"/>
        <v>0</v>
      </c>
      <c r="AO40" s="596">
        <f t="shared" si="159"/>
        <v>0</v>
      </c>
      <c r="AP40" s="596">
        <f t="shared" si="160"/>
        <v>0</v>
      </c>
      <c r="AQ40" s="596">
        <f t="shared" si="161"/>
        <v>0</v>
      </c>
      <c r="AR40" s="596">
        <f t="shared" si="162"/>
        <v>0</v>
      </c>
      <c r="AS40" s="596">
        <f t="shared" si="163"/>
        <v>0</v>
      </c>
      <c r="AT40" s="596">
        <f t="shared" si="164"/>
        <v>0</v>
      </c>
      <c r="AU40" s="596">
        <f t="shared" si="165"/>
        <v>0</v>
      </c>
      <c r="AV40" s="596">
        <f t="shared" si="166"/>
        <v>66.666666666666671</v>
      </c>
      <c r="AW40" s="596">
        <f t="shared" si="167"/>
        <v>0</v>
      </c>
      <c r="AX40" s="596">
        <f t="shared" si="168"/>
        <v>0</v>
      </c>
      <c r="AY40" s="596">
        <f t="shared" si="169"/>
        <v>0</v>
      </c>
      <c r="AZ40" s="596">
        <f t="shared" si="170"/>
        <v>0</v>
      </c>
      <c r="BA40" s="596">
        <f t="shared" si="171"/>
        <v>0</v>
      </c>
      <c r="BB40" s="596">
        <f t="shared" si="172"/>
        <v>0</v>
      </c>
      <c r="BC40" s="596">
        <f t="shared" si="173"/>
        <v>0</v>
      </c>
      <c r="BD40" s="596">
        <f t="shared" si="174"/>
        <v>0</v>
      </c>
      <c r="BE40" s="596">
        <f t="shared" si="175"/>
        <v>0</v>
      </c>
      <c r="BF40" s="596">
        <f t="shared" si="176"/>
        <v>0</v>
      </c>
      <c r="BG40" s="596">
        <f t="shared" si="177"/>
        <v>0</v>
      </c>
      <c r="BH40" s="596">
        <f t="shared" si="178"/>
        <v>0</v>
      </c>
      <c r="BI40" s="602">
        <f t="shared" si="179"/>
        <v>0</v>
      </c>
      <c r="BJ40" s="596">
        <f t="shared" si="437"/>
        <v>0</v>
      </c>
      <c r="BK40" s="596">
        <f t="shared" si="438"/>
        <v>0</v>
      </c>
      <c r="BL40" s="596">
        <f t="shared" si="181"/>
        <v>0</v>
      </c>
      <c r="BM40" s="596">
        <f t="shared" si="181"/>
        <v>0</v>
      </c>
      <c r="BN40" s="596">
        <f t="shared" si="182"/>
        <v>0</v>
      </c>
      <c r="BO40" s="596">
        <f t="shared" si="183"/>
        <v>0</v>
      </c>
      <c r="BP40" s="596">
        <f t="shared" si="184"/>
        <v>0</v>
      </c>
      <c r="BQ40" s="596">
        <f t="shared" si="185"/>
        <v>0</v>
      </c>
      <c r="BR40" s="596">
        <f t="shared" si="186"/>
        <v>0</v>
      </c>
      <c r="BS40" s="596">
        <f t="shared" si="187"/>
        <v>0</v>
      </c>
      <c r="BT40" s="596">
        <f t="shared" si="188"/>
        <v>25</v>
      </c>
      <c r="BU40" s="596">
        <f t="shared" si="189"/>
        <v>0</v>
      </c>
      <c r="BV40" s="596">
        <f t="shared" si="190"/>
        <v>0</v>
      </c>
      <c r="BW40" s="596">
        <f t="shared" si="191"/>
        <v>0</v>
      </c>
      <c r="BX40" s="596">
        <f t="shared" si="192"/>
        <v>0</v>
      </c>
      <c r="BY40" s="596">
        <f t="shared" si="193"/>
        <v>0</v>
      </c>
      <c r="BZ40" s="596">
        <f t="shared" si="194"/>
        <v>0</v>
      </c>
      <c r="CA40" s="596">
        <f t="shared" si="195"/>
        <v>0</v>
      </c>
      <c r="CB40" s="596">
        <f t="shared" si="196"/>
        <v>0</v>
      </c>
      <c r="CC40" s="596">
        <f t="shared" si="197"/>
        <v>0</v>
      </c>
      <c r="CD40" s="596">
        <f t="shared" si="198"/>
        <v>0</v>
      </c>
      <c r="CE40" s="596">
        <f t="shared" si="199"/>
        <v>0</v>
      </c>
      <c r="CF40" s="596">
        <f t="shared" si="200"/>
        <v>0</v>
      </c>
      <c r="CG40" s="602">
        <f t="shared" si="201"/>
        <v>0</v>
      </c>
      <c r="CH40" s="596">
        <f t="shared" si="439"/>
        <v>0</v>
      </c>
      <c r="CI40" s="596">
        <f t="shared" si="440"/>
        <v>0</v>
      </c>
      <c r="CJ40" s="596">
        <f t="shared" si="203"/>
        <v>0</v>
      </c>
      <c r="CK40" s="596">
        <f t="shared" si="203"/>
        <v>0</v>
      </c>
      <c r="CL40" s="596">
        <f t="shared" si="204"/>
        <v>0</v>
      </c>
      <c r="CM40" s="596">
        <f t="shared" si="205"/>
        <v>0</v>
      </c>
      <c r="CN40" s="596">
        <f t="shared" si="206"/>
        <v>0</v>
      </c>
      <c r="CO40" s="596">
        <f t="shared" si="207"/>
        <v>0</v>
      </c>
      <c r="CP40" s="596">
        <f t="shared" si="208"/>
        <v>0</v>
      </c>
      <c r="CQ40" s="596">
        <f t="shared" si="209"/>
        <v>0</v>
      </c>
      <c r="CR40" s="596">
        <f t="shared" si="210"/>
        <v>30</v>
      </c>
      <c r="CS40" s="596">
        <f t="shared" si="211"/>
        <v>0</v>
      </c>
      <c r="CT40" s="596">
        <f t="shared" si="212"/>
        <v>0</v>
      </c>
      <c r="CU40" s="596">
        <f t="shared" si="213"/>
        <v>0</v>
      </c>
      <c r="CV40" s="596">
        <f t="shared" si="214"/>
        <v>0</v>
      </c>
      <c r="CW40" s="596">
        <f t="shared" si="215"/>
        <v>0</v>
      </c>
      <c r="CX40" s="596">
        <f t="shared" si="216"/>
        <v>0</v>
      </c>
      <c r="CY40" s="596">
        <f t="shared" si="217"/>
        <v>0</v>
      </c>
      <c r="CZ40" s="596">
        <f t="shared" si="218"/>
        <v>0</v>
      </c>
      <c r="DA40" s="596">
        <f t="shared" si="219"/>
        <v>0</v>
      </c>
      <c r="DB40" s="596">
        <f t="shared" si="220"/>
        <v>0</v>
      </c>
      <c r="DC40" s="596">
        <f t="shared" si="221"/>
        <v>0</v>
      </c>
      <c r="DD40" s="603">
        <f t="shared" si="222"/>
        <v>0</v>
      </c>
      <c r="DE40" s="596">
        <f t="shared" si="223"/>
        <v>0</v>
      </c>
      <c r="DF40" s="596">
        <f t="shared" si="441"/>
        <v>0</v>
      </c>
      <c r="DG40" s="596">
        <f t="shared" si="442"/>
        <v>0</v>
      </c>
      <c r="DH40" s="596">
        <f t="shared" si="225"/>
        <v>0</v>
      </c>
      <c r="DI40" s="596">
        <f t="shared" si="225"/>
        <v>0</v>
      </c>
      <c r="DJ40" s="596">
        <f t="shared" si="226"/>
        <v>0</v>
      </c>
      <c r="DK40" s="596">
        <f t="shared" si="227"/>
        <v>0</v>
      </c>
      <c r="DL40" s="596">
        <f t="shared" si="228"/>
        <v>0</v>
      </c>
      <c r="DM40" s="596">
        <f t="shared" si="229"/>
        <v>0</v>
      </c>
      <c r="DN40" s="596">
        <f t="shared" si="230"/>
        <v>0</v>
      </c>
      <c r="DO40" s="596">
        <f t="shared" si="231"/>
        <v>0</v>
      </c>
      <c r="DP40" s="596">
        <f t="shared" si="232"/>
        <v>2</v>
      </c>
      <c r="DQ40" s="596">
        <f t="shared" si="233"/>
        <v>0</v>
      </c>
      <c r="DR40" s="596">
        <f t="shared" si="234"/>
        <v>0</v>
      </c>
      <c r="DS40" s="596">
        <f t="shared" si="235"/>
        <v>0</v>
      </c>
      <c r="DT40" s="596">
        <f t="shared" si="236"/>
        <v>0</v>
      </c>
      <c r="DU40" s="596">
        <f t="shared" si="237"/>
        <v>0</v>
      </c>
      <c r="DV40" s="596">
        <f t="shared" si="238"/>
        <v>0</v>
      </c>
      <c r="DW40" s="596">
        <f t="shared" si="239"/>
        <v>0</v>
      </c>
      <c r="DX40" s="596">
        <f t="shared" si="240"/>
        <v>0</v>
      </c>
      <c r="DY40" s="596">
        <f t="shared" si="241"/>
        <v>0</v>
      </c>
      <c r="DZ40" s="596">
        <f t="shared" si="242"/>
        <v>0</v>
      </c>
      <c r="EA40" s="596">
        <f t="shared" si="243"/>
        <v>0</v>
      </c>
      <c r="EB40" s="603">
        <f t="shared" si="244"/>
        <v>0</v>
      </c>
    </row>
    <row r="41" spans="2:132" s="594" customFormat="1" ht="13.8" thickBot="1" x14ac:dyDescent="0.3">
      <c r="B41" s="594" t="str">
        <f>'Gårdens info'!C96</f>
        <v>morotsupptagare</v>
      </c>
      <c r="C41" s="596"/>
      <c r="E41" s="596">
        <f>'Gårdens info'!J94</f>
        <v>2024</v>
      </c>
      <c r="H41" s="597">
        <v>15</v>
      </c>
      <c r="I41" s="594">
        <f>'Gårdens info'!D94</f>
        <v>30000</v>
      </c>
      <c r="J41" s="597">
        <v>0</v>
      </c>
      <c r="K41" s="598">
        <v>0.03</v>
      </c>
      <c r="L41" s="599">
        <f>IF('Gårdens info'!$D$12&gt;0,('Gårdens info'!$D$12/('Gårdens info'!$D$12+'Gårdens info'!$D$16+'Gårdens info'!$D$18+'Gårdens info'!$D$19)),0)</f>
        <v>0.83333333333333337</v>
      </c>
      <c r="M41" s="600">
        <v>0</v>
      </c>
      <c r="N41" s="600">
        <v>0</v>
      </c>
      <c r="O41" s="600">
        <v>0</v>
      </c>
      <c r="P41" s="600">
        <f>IF('Gårdens info'!$D$15&gt;0,('Gårdens info'!$D$15/('Gårdens info'!$D$12+'Gårdens info'!$D$15+'Gårdens info'!$D$16+'Gårdens info'!$D$18+'Gårdens info'!$D$19)),0)</f>
        <v>0.29411764705882354</v>
      </c>
      <c r="Q41" s="600">
        <f>IF('Gårdens info'!$D$16&gt;0,('Gårdens info'!$D$16/('Gårdens info'!$D$12+'Gårdens info'!$D$15+'Gårdens info'!$D$16+'Gårdens info'!$D$18+'Gårdens info'!$D$19)),0)</f>
        <v>0.11764705882352941</v>
      </c>
      <c r="R41" s="600">
        <f>IF('Gårdens info'!$D$17&gt;0,('Gårdens info'!$D$17/('Gårdens info'!$D$12+'Gårdens info'!$D$16+'Gårdens info'!$D$18+'Gårdens info'!$D$19)),0)</f>
        <v>0</v>
      </c>
      <c r="S41" s="600">
        <f>IF('Gårdens info'!$D$18&gt;0,('Gårdens info'!$D$18/('Gårdens info'!$D$12+'Gårdens info'!$D$16+'Gårdens info'!$D$18+'Gårdens info'!$D$19)),0)</f>
        <v>0</v>
      </c>
      <c r="T41" s="600">
        <v>0</v>
      </c>
      <c r="U41" s="600">
        <v>0</v>
      </c>
      <c r="V41" s="600">
        <v>0</v>
      </c>
      <c r="W41" s="600">
        <v>0</v>
      </c>
      <c r="X41" s="600">
        <v>0</v>
      </c>
      <c r="Y41" s="600">
        <v>0</v>
      </c>
      <c r="Z41" s="600">
        <v>0</v>
      </c>
      <c r="AA41" s="600">
        <v>0</v>
      </c>
      <c r="AB41" s="600">
        <v>0</v>
      </c>
      <c r="AC41" s="600">
        <v>0</v>
      </c>
      <c r="AD41" s="600">
        <v>0</v>
      </c>
      <c r="AE41" s="600">
        <v>0</v>
      </c>
      <c r="AF41" s="600">
        <v>0</v>
      </c>
      <c r="AG41" s="600">
        <v>0</v>
      </c>
      <c r="AH41" s="600">
        <v>0</v>
      </c>
      <c r="AI41" s="600">
        <v>0</v>
      </c>
      <c r="AJ41" s="601">
        <f t="shared" si="156"/>
        <v>1.2450980392156863</v>
      </c>
      <c r="AK41" s="1">
        <f t="shared" si="157"/>
        <v>1666.6666666666667</v>
      </c>
      <c r="AL41" s="1">
        <f t="shared" si="435"/>
        <v>0</v>
      </c>
      <c r="AM41" s="1">
        <f t="shared" si="436"/>
        <v>0</v>
      </c>
      <c r="AN41" s="1">
        <f t="shared" si="159"/>
        <v>0</v>
      </c>
      <c r="AO41" s="1">
        <f t="shared" si="159"/>
        <v>588.23529411764707</v>
      </c>
      <c r="AP41" s="1">
        <f t="shared" si="160"/>
        <v>235.29411764705881</v>
      </c>
      <c r="AQ41" s="1">
        <f t="shared" si="161"/>
        <v>0</v>
      </c>
      <c r="AR41" s="1">
        <f t="shared" si="162"/>
        <v>0</v>
      </c>
      <c r="AS41" s="1">
        <f t="shared" si="163"/>
        <v>0</v>
      </c>
      <c r="AT41" s="1">
        <f t="shared" si="164"/>
        <v>0</v>
      </c>
      <c r="AU41" s="1">
        <f t="shared" si="165"/>
        <v>0</v>
      </c>
      <c r="AV41" s="1">
        <f t="shared" si="166"/>
        <v>0</v>
      </c>
      <c r="AW41" s="1">
        <f t="shared" si="167"/>
        <v>0</v>
      </c>
      <c r="AX41" s="1">
        <f t="shared" si="168"/>
        <v>0</v>
      </c>
      <c r="AY41" s="1">
        <f t="shared" si="169"/>
        <v>0</v>
      </c>
      <c r="AZ41" s="1">
        <f t="shared" si="170"/>
        <v>0</v>
      </c>
      <c r="BA41" s="1">
        <f t="shared" si="171"/>
        <v>0</v>
      </c>
      <c r="BB41" s="1">
        <f t="shared" si="172"/>
        <v>0</v>
      </c>
      <c r="BC41" s="1">
        <f t="shared" si="173"/>
        <v>0</v>
      </c>
      <c r="BD41" s="1">
        <f t="shared" si="174"/>
        <v>0</v>
      </c>
      <c r="BE41" s="1">
        <f t="shared" si="175"/>
        <v>0</v>
      </c>
      <c r="BF41" s="1">
        <f t="shared" si="176"/>
        <v>0</v>
      </c>
      <c r="BG41" s="1">
        <f t="shared" si="177"/>
        <v>0</v>
      </c>
      <c r="BH41" s="1">
        <f t="shared" si="178"/>
        <v>0</v>
      </c>
      <c r="BI41" s="23">
        <f t="shared" si="179"/>
        <v>625</v>
      </c>
      <c r="BJ41" s="1">
        <f t="shared" si="437"/>
        <v>0</v>
      </c>
      <c r="BK41" s="1">
        <f t="shared" si="438"/>
        <v>0</v>
      </c>
      <c r="BL41" s="1">
        <f t="shared" si="181"/>
        <v>0</v>
      </c>
      <c r="BM41" s="1">
        <f t="shared" si="181"/>
        <v>220.58823529411765</v>
      </c>
      <c r="BN41" s="1">
        <f t="shared" si="182"/>
        <v>88.235294117647058</v>
      </c>
      <c r="BO41" s="1">
        <f t="shared" si="183"/>
        <v>0</v>
      </c>
      <c r="BP41" s="1">
        <f t="shared" si="184"/>
        <v>0</v>
      </c>
      <c r="BQ41" s="1">
        <f t="shared" si="185"/>
        <v>0</v>
      </c>
      <c r="BR41" s="1">
        <f t="shared" si="186"/>
        <v>0</v>
      </c>
      <c r="BS41" s="1">
        <f t="shared" si="187"/>
        <v>0</v>
      </c>
      <c r="BT41" s="1">
        <f t="shared" si="188"/>
        <v>0</v>
      </c>
      <c r="BU41" s="1">
        <f t="shared" si="189"/>
        <v>0</v>
      </c>
      <c r="BV41" s="1">
        <f t="shared" si="190"/>
        <v>0</v>
      </c>
      <c r="BW41" s="1">
        <f t="shared" si="191"/>
        <v>0</v>
      </c>
      <c r="BX41" s="1">
        <f t="shared" si="192"/>
        <v>0</v>
      </c>
      <c r="BY41" s="1">
        <f t="shared" si="193"/>
        <v>0</v>
      </c>
      <c r="BZ41" s="1">
        <f t="shared" si="194"/>
        <v>0</v>
      </c>
      <c r="CA41" s="1">
        <f t="shared" si="195"/>
        <v>0</v>
      </c>
      <c r="CB41" s="1">
        <f t="shared" si="196"/>
        <v>0</v>
      </c>
      <c r="CC41" s="1">
        <f t="shared" si="197"/>
        <v>0</v>
      </c>
      <c r="CD41" s="1">
        <f t="shared" si="198"/>
        <v>0</v>
      </c>
      <c r="CE41" s="1">
        <f t="shared" si="199"/>
        <v>0</v>
      </c>
      <c r="CF41" s="24">
        <f t="shared" si="200"/>
        <v>0</v>
      </c>
      <c r="CG41" s="1">
        <f>$I41*$K41*L41</f>
        <v>750</v>
      </c>
      <c r="CH41" s="1">
        <f t="shared" si="439"/>
        <v>0</v>
      </c>
      <c r="CI41" s="1">
        <f t="shared" si="440"/>
        <v>0</v>
      </c>
      <c r="CJ41" s="1">
        <f t="shared" si="203"/>
        <v>0</v>
      </c>
      <c r="CK41" s="1">
        <f t="shared" si="203"/>
        <v>264.70588235294116</v>
      </c>
      <c r="CL41" s="1">
        <f t="shared" si="204"/>
        <v>105.88235294117646</v>
      </c>
      <c r="CM41" s="1">
        <f t="shared" si="205"/>
        <v>0</v>
      </c>
      <c r="CN41" s="1">
        <f t="shared" si="206"/>
        <v>0</v>
      </c>
      <c r="CO41" s="1">
        <f t="shared" si="207"/>
        <v>0</v>
      </c>
      <c r="CP41" s="1">
        <f t="shared" si="208"/>
        <v>0</v>
      </c>
      <c r="CQ41" s="1">
        <f t="shared" si="209"/>
        <v>0</v>
      </c>
      <c r="CR41" s="1">
        <f t="shared" si="210"/>
        <v>0</v>
      </c>
      <c r="CS41" s="1">
        <f t="shared" si="211"/>
        <v>0</v>
      </c>
      <c r="CT41" s="1">
        <f t="shared" si="212"/>
        <v>0</v>
      </c>
      <c r="CU41" s="1">
        <f t="shared" si="213"/>
        <v>0</v>
      </c>
      <c r="CV41" s="1">
        <f t="shared" si="214"/>
        <v>0</v>
      </c>
      <c r="CW41" s="1">
        <f t="shared" si="215"/>
        <v>0</v>
      </c>
      <c r="CX41" s="1">
        <f t="shared" si="216"/>
        <v>0</v>
      </c>
      <c r="CY41" s="1">
        <f t="shared" si="217"/>
        <v>0</v>
      </c>
      <c r="CZ41" s="1">
        <f t="shared" si="218"/>
        <v>0</v>
      </c>
      <c r="DA41" s="1">
        <f t="shared" si="219"/>
        <v>0</v>
      </c>
      <c r="DB41" s="1">
        <f t="shared" si="220"/>
        <v>0</v>
      </c>
      <c r="DC41" s="1">
        <f t="shared" si="221"/>
        <v>0</v>
      </c>
      <c r="DD41" s="24">
        <f t="shared" si="222"/>
        <v>0</v>
      </c>
      <c r="DE41" s="1">
        <f>$I41*$C$9*L41</f>
        <v>50</v>
      </c>
      <c r="DF41" s="1">
        <f t="shared" si="441"/>
        <v>0</v>
      </c>
      <c r="DG41" s="1">
        <f t="shared" si="442"/>
        <v>0</v>
      </c>
      <c r="DH41" s="1">
        <f t="shared" si="225"/>
        <v>0</v>
      </c>
      <c r="DI41" s="1">
        <f t="shared" si="225"/>
        <v>17.647058823529413</v>
      </c>
      <c r="DJ41" s="1">
        <f t="shared" si="226"/>
        <v>7.0588235294117645</v>
      </c>
      <c r="DK41" s="1">
        <f t="shared" si="227"/>
        <v>0</v>
      </c>
      <c r="DL41" s="1">
        <f t="shared" si="228"/>
        <v>0</v>
      </c>
      <c r="DM41" s="1">
        <f t="shared" si="229"/>
        <v>0</v>
      </c>
      <c r="DN41" s="1">
        <f t="shared" si="230"/>
        <v>0</v>
      </c>
      <c r="DO41" s="1">
        <f t="shared" si="231"/>
        <v>0</v>
      </c>
      <c r="DP41" s="1">
        <f t="shared" si="232"/>
        <v>0</v>
      </c>
      <c r="DQ41" s="1">
        <f t="shared" si="233"/>
        <v>0</v>
      </c>
      <c r="DR41" s="1">
        <f t="shared" si="234"/>
        <v>0</v>
      </c>
      <c r="DS41" s="1">
        <f t="shared" si="235"/>
        <v>0</v>
      </c>
      <c r="DT41" s="1">
        <f t="shared" si="236"/>
        <v>0</v>
      </c>
      <c r="DU41" s="1">
        <f t="shared" si="237"/>
        <v>0</v>
      </c>
      <c r="DV41" s="1">
        <f t="shared" si="238"/>
        <v>0</v>
      </c>
      <c r="DW41" s="1">
        <f t="shared" si="239"/>
        <v>0</v>
      </c>
      <c r="DX41" s="1">
        <f t="shared" si="240"/>
        <v>0</v>
      </c>
      <c r="DY41" s="1">
        <f t="shared" si="241"/>
        <v>0</v>
      </c>
      <c r="DZ41" s="1">
        <f t="shared" si="242"/>
        <v>0</v>
      </c>
      <c r="EA41" s="1">
        <f t="shared" si="243"/>
        <v>0</v>
      </c>
      <c r="EB41" s="24">
        <f t="shared" si="244"/>
        <v>0</v>
      </c>
    </row>
    <row r="42" spans="2:132" s="594" customFormat="1" ht="13.8" thickBot="1" x14ac:dyDescent="0.3">
      <c r="B42" s="594" t="str">
        <f>'Gårdens info'!C97</f>
        <v>lökupptagare</v>
      </c>
      <c r="C42" s="596"/>
      <c r="E42" s="596">
        <f>'Gårdens info'!J95</f>
        <v>2024</v>
      </c>
      <c r="H42" s="597">
        <v>15</v>
      </c>
      <c r="I42" s="594">
        <f>'Gårdens info'!D95</f>
        <v>25000</v>
      </c>
      <c r="J42" s="597">
        <v>0</v>
      </c>
      <c r="K42" s="598">
        <v>0.03</v>
      </c>
      <c r="L42" s="599">
        <v>0</v>
      </c>
      <c r="M42" s="600">
        <v>0</v>
      </c>
      <c r="N42" s="600">
        <v>1</v>
      </c>
      <c r="O42" s="600">
        <v>0</v>
      </c>
      <c r="P42" s="600">
        <v>0</v>
      </c>
      <c r="Q42" s="600">
        <v>0</v>
      </c>
      <c r="R42" s="600">
        <v>0</v>
      </c>
      <c r="S42" s="600">
        <v>0</v>
      </c>
      <c r="T42" s="600">
        <v>0</v>
      </c>
      <c r="U42" s="600">
        <v>0</v>
      </c>
      <c r="V42" s="600">
        <v>0</v>
      </c>
      <c r="W42" s="600">
        <v>0</v>
      </c>
      <c r="X42" s="600">
        <v>0</v>
      </c>
      <c r="Y42" s="600">
        <v>0</v>
      </c>
      <c r="Z42" s="600">
        <v>0</v>
      </c>
      <c r="AA42" s="600">
        <v>0</v>
      </c>
      <c r="AB42" s="600">
        <v>0</v>
      </c>
      <c r="AC42" s="600">
        <v>0</v>
      </c>
      <c r="AD42" s="600">
        <v>0</v>
      </c>
      <c r="AE42" s="600">
        <v>0</v>
      </c>
      <c r="AF42" s="600">
        <v>0</v>
      </c>
      <c r="AG42" s="600">
        <v>0</v>
      </c>
      <c r="AH42" s="600">
        <v>0</v>
      </c>
      <c r="AI42" s="600">
        <v>0</v>
      </c>
      <c r="AJ42" s="601">
        <f t="shared" si="156"/>
        <v>1</v>
      </c>
      <c r="AK42" s="1">
        <f t="shared" si="157"/>
        <v>0</v>
      </c>
      <c r="AL42" s="1">
        <f t="shared" si="435"/>
        <v>0</v>
      </c>
      <c r="AM42" s="1">
        <f t="shared" si="436"/>
        <v>1666.6666666666667</v>
      </c>
      <c r="AN42" s="1">
        <f t="shared" si="159"/>
        <v>0</v>
      </c>
      <c r="AO42" s="1">
        <f t="shared" si="159"/>
        <v>0</v>
      </c>
      <c r="AP42" s="1">
        <f t="shared" si="160"/>
        <v>0</v>
      </c>
      <c r="AQ42" s="1">
        <f t="shared" si="161"/>
        <v>0</v>
      </c>
      <c r="AR42" s="1">
        <f t="shared" si="162"/>
        <v>0</v>
      </c>
      <c r="AS42" s="1">
        <f t="shared" si="163"/>
        <v>0</v>
      </c>
      <c r="AT42" s="1">
        <f t="shared" si="164"/>
        <v>0</v>
      </c>
      <c r="AU42" s="1">
        <f t="shared" si="165"/>
        <v>0</v>
      </c>
      <c r="AV42" s="1">
        <f t="shared" si="166"/>
        <v>0</v>
      </c>
      <c r="AW42" s="1">
        <f t="shared" si="167"/>
        <v>0</v>
      </c>
      <c r="AX42" s="1">
        <f t="shared" si="168"/>
        <v>0</v>
      </c>
      <c r="AY42" s="1">
        <f t="shared" si="169"/>
        <v>0</v>
      </c>
      <c r="AZ42" s="1">
        <f t="shared" si="170"/>
        <v>0</v>
      </c>
      <c r="BA42" s="1">
        <f t="shared" si="171"/>
        <v>0</v>
      </c>
      <c r="BB42" s="1">
        <f t="shared" si="172"/>
        <v>0</v>
      </c>
      <c r="BC42" s="1">
        <f t="shared" si="173"/>
        <v>0</v>
      </c>
      <c r="BD42" s="1">
        <f t="shared" si="174"/>
        <v>0</v>
      </c>
      <c r="BE42" s="1">
        <f t="shared" si="175"/>
        <v>0</v>
      </c>
      <c r="BF42" s="1">
        <f t="shared" si="176"/>
        <v>0</v>
      </c>
      <c r="BG42" s="1">
        <f t="shared" si="177"/>
        <v>0</v>
      </c>
      <c r="BH42" s="1">
        <f t="shared" si="178"/>
        <v>0</v>
      </c>
      <c r="BI42" s="23">
        <f t="shared" si="179"/>
        <v>0</v>
      </c>
      <c r="BJ42" s="1">
        <f t="shared" si="437"/>
        <v>0</v>
      </c>
      <c r="BK42" s="1">
        <f t="shared" si="438"/>
        <v>625</v>
      </c>
      <c r="BL42" s="1">
        <f t="shared" si="181"/>
        <v>0</v>
      </c>
      <c r="BM42" s="1">
        <f t="shared" si="181"/>
        <v>0</v>
      </c>
      <c r="BN42" s="1">
        <f t="shared" si="182"/>
        <v>0</v>
      </c>
      <c r="BO42" s="1">
        <f t="shared" si="183"/>
        <v>0</v>
      </c>
      <c r="BP42" s="1">
        <f t="shared" si="184"/>
        <v>0</v>
      </c>
      <c r="BQ42" s="1">
        <f t="shared" si="185"/>
        <v>0</v>
      </c>
      <c r="BR42" s="1">
        <f t="shared" si="186"/>
        <v>0</v>
      </c>
      <c r="BS42" s="1">
        <f t="shared" si="187"/>
        <v>0</v>
      </c>
      <c r="BT42" s="1">
        <f t="shared" si="188"/>
        <v>0</v>
      </c>
      <c r="BU42" s="1">
        <f t="shared" si="189"/>
        <v>0</v>
      </c>
      <c r="BV42" s="1">
        <f t="shared" si="190"/>
        <v>0</v>
      </c>
      <c r="BW42" s="1">
        <f t="shared" si="191"/>
        <v>0</v>
      </c>
      <c r="BX42" s="1">
        <f t="shared" si="192"/>
        <v>0</v>
      </c>
      <c r="BY42" s="1">
        <f t="shared" si="193"/>
        <v>0</v>
      </c>
      <c r="BZ42" s="1">
        <f t="shared" si="194"/>
        <v>0</v>
      </c>
      <c r="CA42" s="1">
        <f t="shared" si="195"/>
        <v>0</v>
      </c>
      <c r="CB42" s="1">
        <f t="shared" si="196"/>
        <v>0</v>
      </c>
      <c r="CC42" s="1">
        <f t="shared" si="197"/>
        <v>0</v>
      </c>
      <c r="CD42" s="1">
        <f t="shared" si="198"/>
        <v>0</v>
      </c>
      <c r="CE42" s="1">
        <f t="shared" si="199"/>
        <v>0</v>
      </c>
      <c r="CF42" s="24">
        <f t="shared" si="200"/>
        <v>0</v>
      </c>
      <c r="CG42" s="1">
        <f>$I42*$K42*L42</f>
        <v>0</v>
      </c>
      <c r="CH42" s="1">
        <f t="shared" si="439"/>
        <v>0</v>
      </c>
      <c r="CI42" s="1">
        <f t="shared" si="440"/>
        <v>750</v>
      </c>
      <c r="CJ42" s="1">
        <f t="shared" si="203"/>
        <v>0</v>
      </c>
      <c r="CK42" s="1">
        <f t="shared" si="203"/>
        <v>0</v>
      </c>
      <c r="CL42" s="1">
        <f t="shared" si="204"/>
        <v>0</v>
      </c>
      <c r="CM42" s="1">
        <f t="shared" si="205"/>
        <v>0</v>
      </c>
      <c r="CN42" s="1">
        <f t="shared" si="206"/>
        <v>0</v>
      </c>
      <c r="CO42" s="1">
        <f t="shared" si="207"/>
        <v>0</v>
      </c>
      <c r="CP42" s="1">
        <f t="shared" si="208"/>
        <v>0</v>
      </c>
      <c r="CQ42" s="1">
        <f t="shared" si="209"/>
        <v>0</v>
      </c>
      <c r="CR42" s="1">
        <f t="shared" si="210"/>
        <v>0</v>
      </c>
      <c r="CS42" s="1">
        <f t="shared" si="211"/>
        <v>0</v>
      </c>
      <c r="CT42" s="1">
        <f t="shared" si="212"/>
        <v>0</v>
      </c>
      <c r="CU42" s="1">
        <f t="shared" si="213"/>
        <v>0</v>
      </c>
      <c r="CV42" s="1">
        <f t="shared" si="214"/>
        <v>0</v>
      </c>
      <c r="CW42" s="1">
        <f t="shared" si="215"/>
        <v>0</v>
      </c>
      <c r="CX42" s="1">
        <f t="shared" si="216"/>
        <v>0</v>
      </c>
      <c r="CY42" s="1">
        <f t="shared" si="217"/>
        <v>0</v>
      </c>
      <c r="CZ42" s="1">
        <f t="shared" si="218"/>
        <v>0</v>
      </c>
      <c r="DA42" s="1">
        <f t="shared" si="219"/>
        <v>0</v>
      </c>
      <c r="DB42" s="1">
        <f t="shared" si="220"/>
        <v>0</v>
      </c>
      <c r="DC42" s="1">
        <f t="shared" si="221"/>
        <v>0</v>
      </c>
      <c r="DD42" s="24">
        <f t="shared" si="222"/>
        <v>0</v>
      </c>
      <c r="DE42" s="1">
        <f>$I42*$C$9*L42</f>
        <v>0</v>
      </c>
      <c r="DF42" s="1">
        <f t="shared" si="441"/>
        <v>0</v>
      </c>
      <c r="DG42" s="1">
        <f t="shared" si="442"/>
        <v>50</v>
      </c>
      <c r="DH42" s="1">
        <f t="shared" si="225"/>
        <v>0</v>
      </c>
      <c r="DI42" s="1">
        <f t="shared" si="225"/>
        <v>0</v>
      </c>
      <c r="DJ42" s="1">
        <f t="shared" si="226"/>
        <v>0</v>
      </c>
      <c r="DK42" s="1">
        <f t="shared" si="227"/>
        <v>0</v>
      </c>
      <c r="DL42" s="1">
        <f t="shared" si="228"/>
        <v>0</v>
      </c>
      <c r="DM42" s="1">
        <f t="shared" si="229"/>
        <v>0</v>
      </c>
      <c r="DN42" s="1">
        <f t="shared" si="230"/>
        <v>0</v>
      </c>
      <c r="DO42" s="1">
        <f t="shared" si="231"/>
        <v>0</v>
      </c>
      <c r="DP42" s="1">
        <f t="shared" si="232"/>
        <v>0</v>
      </c>
      <c r="DQ42" s="1">
        <f t="shared" si="233"/>
        <v>0</v>
      </c>
      <c r="DR42" s="1">
        <f t="shared" si="234"/>
        <v>0</v>
      </c>
      <c r="DS42" s="1">
        <f t="shared" si="235"/>
        <v>0</v>
      </c>
      <c r="DT42" s="1">
        <f t="shared" si="236"/>
        <v>0</v>
      </c>
      <c r="DU42" s="1">
        <f t="shared" si="237"/>
        <v>0</v>
      </c>
      <c r="DV42" s="1">
        <f t="shared" si="238"/>
        <v>0</v>
      </c>
      <c r="DW42" s="1">
        <f t="shared" si="239"/>
        <v>0</v>
      </c>
      <c r="DX42" s="1">
        <f t="shared" si="240"/>
        <v>0</v>
      </c>
      <c r="DY42" s="1">
        <f t="shared" si="241"/>
        <v>0</v>
      </c>
      <c r="DZ42" s="1">
        <f t="shared" si="242"/>
        <v>0</v>
      </c>
      <c r="EA42" s="1">
        <f t="shared" si="243"/>
        <v>0</v>
      </c>
      <c r="EB42" s="24">
        <f t="shared" si="244"/>
        <v>0</v>
      </c>
    </row>
    <row r="43" spans="2:132" s="594" customFormat="1" ht="13.8" thickBot="1" x14ac:dyDescent="0.3">
      <c r="B43" s="13" t="str">
        <f>'Gårdens info'!C98</f>
        <v>gödselspridare</v>
      </c>
      <c r="C43" s="596"/>
      <c r="E43" s="33">
        <f>'Gårdens info'!J96</f>
        <v>2024</v>
      </c>
      <c r="H43" s="597">
        <v>15</v>
      </c>
      <c r="I43" s="594">
        <f>'Gårdens info'!D96</f>
        <v>50000</v>
      </c>
      <c r="J43" s="597">
        <v>0</v>
      </c>
      <c r="K43" s="598">
        <v>0.03</v>
      </c>
      <c r="L43" s="599">
        <f>IF('Gårdens info'!$D$12&gt;0,('Gårdens info'!$D$12/('Gårdens info'!$D$12)),0)</f>
        <v>1</v>
      </c>
      <c r="M43" s="600">
        <v>0</v>
      </c>
      <c r="N43" s="600">
        <v>0</v>
      </c>
      <c r="O43" s="600">
        <v>0</v>
      </c>
      <c r="P43" s="600">
        <v>0</v>
      </c>
      <c r="Q43" s="600">
        <v>0</v>
      </c>
      <c r="R43" s="600">
        <v>0</v>
      </c>
      <c r="S43" s="600">
        <v>0</v>
      </c>
      <c r="T43" s="600">
        <v>0</v>
      </c>
      <c r="U43" s="600">
        <v>0</v>
      </c>
      <c r="V43" s="600">
        <v>0</v>
      </c>
      <c r="W43" s="600">
        <v>0</v>
      </c>
      <c r="X43" s="600">
        <v>0</v>
      </c>
      <c r="Y43" s="600">
        <v>0</v>
      </c>
      <c r="Z43" s="600">
        <v>0</v>
      </c>
      <c r="AA43" s="600">
        <v>0</v>
      </c>
      <c r="AB43" s="600">
        <v>0</v>
      </c>
      <c r="AC43" s="600">
        <v>0</v>
      </c>
      <c r="AD43" s="600">
        <v>0</v>
      </c>
      <c r="AE43" s="600">
        <v>0</v>
      </c>
      <c r="AF43" s="600">
        <v>0</v>
      </c>
      <c r="AG43" s="600">
        <v>0</v>
      </c>
      <c r="AH43" s="600">
        <v>0</v>
      </c>
      <c r="AI43" s="600">
        <v>0</v>
      </c>
      <c r="AJ43" s="601">
        <f t="shared" si="156"/>
        <v>1</v>
      </c>
      <c r="AK43" s="1">
        <f t="shared" si="157"/>
        <v>3333.3333333333335</v>
      </c>
      <c r="AL43" s="1">
        <f t="shared" si="435"/>
        <v>0</v>
      </c>
      <c r="AM43" s="1">
        <f t="shared" si="436"/>
        <v>0</v>
      </c>
      <c r="AN43" s="1">
        <f t="shared" si="159"/>
        <v>0</v>
      </c>
      <c r="AO43" s="1">
        <f t="shared" si="159"/>
        <v>0</v>
      </c>
      <c r="AP43" s="1">
        <f t="shared" si="160"/>
        <v>0</v>
      </c>
      <c r="AQ43" s="1">
        <f t="shared" si="161"/>
        <v>0</v>
      </c>
      <c r="AR43" s="1">
        <f t="shared" si="162"/>
        <v>0</v>
      </c>
      <c r="AS43" s="1">
        <f t="shared" si="163"/>
        <v>0</v>
      </c>
      <c r="AT43" s="1">
        <f t="shared" si="164"/>
        <v>0</v>
      </c>
      <c r="AU43" s="1">
        <f t="shared" si="165"/>
        <v>0</v>
      </c>
      <c r="AV43" s="1">
        <f t="shared" si="166"/>
        <v>0</v>
      </c>
      <c r="AW43" s="1">
        <f t="shared" si="167"/>
        <v>0</v>
      </c>
      <c r="AX43" s="1">
        <f t="shared" si="168"/>
        <v>0</v>
      </c>
      <c r="AY43" s="1">
        <f t="shared" si="169"/>
        <v>0</v>
      </c>
      <c r="AZ43" s="1">
        <f t="shared" si="170"/>
        <v>0</v>
      </c>
      <c r="BA43" s="1">
        <f t="shared" si="171"/>
        <v>0</v>
      </c>
      <c r="BB43" s="1">
        <f t="shared" si="172"/>
        <v>0</v>
      </c>
      <c r="BC43" s="1">
        <f t="shared" si="173"/>
        <v>0</v>
      </c>
      <c r="BD43" s="1">
        <f t="shared" si="174"/>
        <v>0</v>
      </c>
      <c r="BE43" s="1">
        <f t="shared" si="175"/>
        <v>0</v>
      </c>
      <c r="BF43" s="1">
        <f t="shared" si="176"/>
        <v>0</v>
      </c>
      <c r="BG43" s="1">
        <f t="shared" si="177"/>
        <v>0</v>
      </c>
      <c r="BH43" s="1">
        <f t="shared" si="178"/>
        <v>0</v>
      </c>
      <c r="BI43" s="23">
        <f t="shared" si="179"/>
        <v>1250</v>
      </c>
      <c r="BJ43" s="1">
        <f t="shared" si="437"/>
        <v>0</v>
      </c>
      <c r="BK43" s="1">
        <f t="shared" si="438"/>
        <v>0</v>
      </c>
      <c r="BL43" s="1">
        <f t="shared" si="181"/>
        <v>0</v>
      </c>
      <c r="BM43" s="1">
        <f t="shared" si="181"/>
        <v>0</v>
      </c>
      <c r="BN43" s="1">
        <f t="shared" si="182"/>
        <v>0</v>
      </c>
      <c r="BO43" s="1">
        <f t="shared" si="183"/>
        <v>0</v>
      </c>
      <c r="BP43" s="1">
        <f t="shared" si="184"/>
        <v>0</v>
      </c>
      <c r="BQ43" s="1">
        <f t="shared" si="185"/>
        <v>0</v>
      </c>
      <c r="BR43" s="1">
        <f t="shared" si="186"/>
        <v>0</v>
      </c>
      <c r="BS43" s="1">
        <f t="shared" si="187"/>
        <v>0</v>
      </c>
      <c r="BT43" s="1">
        <f t="shared" si="188"/>
        <v>0</v>
      </c>
      <c r="BU43" s="1">
        <f t="shared" si="189"/>
        <v>0</v>
      </c>
      <c r="BV43" s="1">
        <f t="shared" si="190"/>
        <v>0</v>
      </c>
      <c r="BW43" s="1">
        <f t="shared" si="191"/>
        <v>0</v>
      </c>
      <c r="BX43" s="1">
        <f t="shared" si="192"/>
        <v>0</v>
      </c>
      <c r="BY43" s="1">
        <f t="shared" si="193"/>
        <v>0</v>
      </c>
      <c r="BZ43" s="1">
        <f t="shared" si="194"/>
        <v>0</v>
      </c>
      <c r="CA43" s="1">
        <f t="shared" si="195"/>
        <v>0</v>
      </c>
      <c r="CB43" s="1">
        <f t="shared" si="196"/>
        <v>0</v>
      </c>
      <c r="CC43" s="1">
        <f t="shared" si="197"/>
        <v>0</v>
      </c>
      <c r="CD43" s="1">
        <f t="shared" si="198"/>
        <v>0</v>
      </c>
      <c r="CE43" s="1">
        <f t="shared" si="199"/>
        <v>0</v>
      </c>
      <c r="CF43" s="24">
        <f t="shared" si="200"/>
        <v>0</v>
      </c>
      <c r="CG43" s="1">
        <f>$I43*$K43*L43</f>
        <v>1500</v>
      </c>
      <c r="CH43" s="1">
        <f t="shared" si="439"/>
        <v>0</v>
      </c>
      <c r="CI43" s="1">
        <f t="shared" si="440"/>
        <v>0</v>
      </c>
      <c r="CJ43" s="1">
        <f t="shared" si="203"/>
        <v>0</v>
      </c>
      <c r="CK43" s="1">
        <f t="shared" si="203"/>
        <v>0</v>
      </c>
      <c r="CL43" s="1">
        <f t="shared" si="204"/>
        <v>0</v>
      </c>
      <c r="CM43" s="1">
        <f t="shared" si="205"/>
        <v>0</v>
      </c>
      <c r="CN43" s="1">
        <f t="shared" si="206"/>
        <v>0</v>
      </c>
      <c r="CO43" s="1">
        <f t="shared" si="207"/>
        <v>0</v>
      </c>
      <c r="CP43" s="1">
        <f t="shared" si="208"/>
        <v>0</v>
      </c>
      <c r="CQ43" s="1">
        <f t="shared" si="209"/>
        <v>0</v>
      </c>
      <c r="CR43" s="1">
        <f t="shared" si="210"/>
        <v>0</v>
      </c>
      <c r="CS43" s="1">
        <f t="shared" si="211"/>
        <v>0</v>
      </c>
      <c r="CT43" s="1">
        <f t="shared" si="212"/>
        <v>0</v>
      </c>
      <c r="CU43" s="1">
        <f t="shared" si="213"/>
        <v>0</v>
      </c>
      <c r="CV43" s="1">
        <f t="shared" si="214"/>
        <v>0</v>
      </c>
      <c r="CW43" s="1">
        <f t="shared" si="215"/>
        <v>0</v>
      </c>
      <c r="CX43" s="1">
        <f t="shared" si="216"/>
        <v>0</v>
      </c>
      <c r="CY43" s="1">
        <f t="shared" si="217"/>
        <v>0</v>
      </c>
      <c r="CZ43" s="1">
        <f t="shared" si="218"/>
        <v>0</v>
      </c>
      <c r="DA43" s="1">
        <f t="shared" si="219"/>
        <v>0</v>
      </c>
      <c r="DB43" s="1">
        <f t="shared" si="220"/>
        <v>0</v>
      </c>
      <c r="DC43" s="1">
        <f t="shared" si="221"/>
        <v>0</v>
      </c>
      <c r="DD43" s="24">
        <f t="shared" si="222"/>
        <v>0</v>
      </c>
      <c r="DE43" s="1">
        <f>$I43*$C$9*L43</f>
        <v>100</v>
      </c>
      <c r="DF43" s="1">
        <f t="shared" si="441"/>
        <v>0</v>
      </c>
      <c r="DG43" s="1">
        <f t="shared" si="442"/>
        <v>0</v>
      </c>
      <c r="DH43" s="1">
        <f t="shared" si="225"/>
        <v>0</v>
      </c>
      <c r="DI43" s="1">
        <f t="shared" si="225"/>
        <v>0</v>
      </c>
      <c r="DJ43" s="1">
        <f t="shared" si="226"/>
        <v>0</v>
      </c>
      <c r="DK43" s="1">
        <f t="shared" si="227"/>
        <v>0</v>
      </c>
      <c r="DL43" s="1">
        <f t="shared" si="228"/>
        <v>0</v>
      </c>
      <c r="DM43" s="1">
        <f t="shared" si="229"/>
        <v>0</v>
      </c>
      <c r="DN43" s="1">
        <f t="shared" si="230"/>
        <v>0</v>
      </c>
      <c r="DO43" s="1">
        <f t="shared" si="231"/>
        <v>0</v>
      </c>
      <c r="DP43" s="1">
        <f t="shared" si="232"/>
        <v>0</v>
      </c>
      <c r="DQ43" s="1">
        <f t="shared" si="233"/>
        <v>0</v>
      </c>
      <c r="DR43" s="1">
        <f t="shared" si="234"/>
        <v>0</v>
      </c>
      <c r="DS43" s="1">
        <f t="shared" si="235"/>
        <v>0</v>
      </c>
      <c r="DT43" s="1">
        <f t="shared" si="236"/>
        <v>0</v>
      </c>
      <c r="DU43" s="1">
        <f t="shared" si="237"/>
        <v>0</v>
      </c>
      <c r="DV43" s="1">
        <f t="shared" si="238"/>
        <v>0</v>
      </c>
      <c r="DW43" s="1">
        <f t="shared" si="239"/>
        <v>0</v>
      </c>
      <c r="DX43" s="1">
        <f t="shared" si="240"/>
        <v>0</v>
      </c>
      <c r="DY43" s="1">
        <f t="shared" si="241"/>
        <v>0</v>
      </c>
      <c r="DZ43" s="1">
        <f t="shared" si="242"/>
        <v>0</v>
      </c>
      <c r="EA43" s="1">
        <f t="shared" si="243"/>
        <v>0</v>
      </c>
      <c r="EB43" s="24">
        <f t="shared" si="244"/>
        <v>0</v>
      </c>
    </row>
    <row r="44" spans="2:132" s="594" customFormat="1" ht="13.8" thickBot="1" x14ac:dyDescent="0.3">
      <c r="B44" s="594" t="str">
        <f>'Gårdens info'!C99</f>
        <v>bädd och plastläggningsmaskin</v>
      </c>
      <c r="C44" s="596"/>
      <c r="E44" s="596">
        <f>'Gårdens info'!J97</f>
        <v>2024</v>
      </c>
      <c r="H44" s="597">
        <v>15</v>
      </c>
      <c r="I44" s="594">
        <f>'Gårdens info'!D97</f>
        <v>60000</v>
      </c>
      <c r="J44" s="597">
        <v>0</v>
      </c>
      <c r="K44" s="598">
        <v>0.03</v>
      </c>
      <c r="L44" s="599">
        <v>0</v>
      </c>
      <c r="M44" s="600">
        <v>0</v>
      </c>
      <c r="N44" s="600">
        <v>0</v>
      </c>
      <c r="O44" s="600">
        <f>'Gårdens info'!$D$14/('Gårdens info'!$D$14+'Gårdens info'!$D$15)</f>
        <v>0.2857142857142857</v>
      </c>
      <c r="P44" s="600">
        <f>'Gårdens info'!$D$15/('Gårdens info'!$D$14+'Gårdens info'!$D$15)</f>
        <v>0.7142857142857143</v>
      </c>
      <c r="Q44" s="600">
        <v>0</v>
      </c>
      <c r="R44" s="600">
        <v>0</v>
      </c>
      <c r="S44" s="600">
        <v>0</v>
      </c>
      <c r="T44" s="600">
        <v>0</v>
      </c>
      <c r="U44" s="600">
        <v>0</v>
      </c>
      <c r="V44" s="600">
        <v>0</v>
      </c>
      <c r="W44" s="600">
        <v>0</v>
      </c>
      <c r="X44" s="600">
        <v>0</v>
      </c>
      <c r="Y44" s="600">
        <v>0</v>
      </c>
      <c r="Z44" s="600">
        <v>0</v>
      </c>
      <c r="AA44" s="600">
        <v>0</v>
      </c>
      <c r="AB44" s="600">
        <v>0</v>
      </c>
      <c r="AC44" s="600">
        <v>0</v>
      </c>
      <c r="AD44" s="600">
        <v>0</v>
      </c>
      <c r="AE44" s="600">
        <v>0</v>
      </c>
      <c r="AF44" s="600">
        <v>0</v>
      </c>
      <c r="AG44" s="600">
        <v>0</v>
      </c>
      <c r="AH44" s="600">
        <v>0</v>
      </c>
      <c r="AI44" s="600">
        <v>0</v>
      </c>
      <c r="AJ44" s="601">
        <f t="shared" si="156"/>
        <v>1</v>
      </c>
      <c r="AK44" s="1">
        <f t="shared" si="157"/>
        <v>0</v>
      </c>
      <c r="AL44" s="1">
        <f t="shared" si="435"/>
        <v>0</v>
      </c>
      <c r="AM44" s="1">
        <f t="shared" si="436"/>
        <v>0</v>
      </c>
      <c r="AN44" s="1">
        <f t="shared" si="159"/>
        <v>1142.8571428571429</v>
      </c>
      <c r="AO44" s="1">
        <f t="shared" si="159"/>
        <v>2857.1428571428573</v>
      </c>
      <c r="AP44" s="1">
        <f t="shared" si="160"/>
        <v>0</v>
      </c>
      <c r="AQ44" s="1">
        <f t="shared" si="161"/>
        <v>0</v>
      </c>
      <c r="AR44" s="1">
        <f t="shared" si="162"/>
        <v>0</v>
      </c>
      <c r="AS44" s="1">
        <f t="shared" si="163"/>
        <v>0</v>
      </c>
      <c r="AT44" s="1">
        <f t="shared" si="164"/>
        <v>0</v>
      </c>
      <c r="AU44" s="1">
        <f t="shared" si="165"/>
        <v>0</v>
      </c>
      <c r="AV44" s="1">
        <f t="shared" si="166"/>
        <v>0</v>
      </c>
      <c r="AW44" s="1">
        <f t="shared" si="167"/>
        <v>0</v>
      </c>
      <c r="AX44" s="1">
        <f t="shared" si="168"/>
        <v>0</v>
      </c>
      <c r="AY44" s="1">
        <f t="shared" si="169"/>
        <v>0</v>
      </c>
      <c r="AZ44" s="1">
        <f t="shared" si="170"/>
        <v>0</v>
      </c>
      <c r="BA44" s="1">
        <f t="shared" si="171"/>
        <v>0</v>
      </c>
      <c r="BB44" s="1">
        <f t="shared" si="172"/>
        <v>0</v>
      </c>
      <c r="BC44" s="1">
        <f t="shared" si="173"/>
        <v>0</v>
      </c>
      <c r="BD44" s="1">
        <f t="shared" si="174"/>
        <v>0</v>
      </c>
      <c r="BE44" s="1">
        <f t="shared" si="175"/>
        <v>0</v>
      </c>
      <c r="BF44" s="1">
        <f t="shared" si="176"/>
        <v>0</v>
      </c>
      <c r="BG44" s="1">
        <f t="shared" si="177"/>
        <v>0</v>
      </c>
      <c r="BH44" s="1">
        <f t="shared" si="178"/>
        <v>0</v>
      </c>
      <c r="BI44" s="23">
        <f t="shared" si="179"/>
        <v>0</v>
      </c>
      <c r="BJ44" s="1">
        <f t="shared" si="437"/>
        <v>0</v>
      </c>
      <c r="BK44" s="1">
        <f t="shared" si="438"/>
        <v>0</v>
      </c>
      <c r="BL44" s="1">
        <f t="shared" si="181"/>
        <v>428.57142857142856</v>
      </c>
      <c r="BM44" s="1">
        <f t="shared" si="181"/>
        <v>1071.4285714285716</v>
      </c>
      <c r="BN44" s="1">
        <f t="shared" si="182"/>
        <v>0</v>
      </c>
      <c r="BO44" s="1">
        <f t="shared" si="183"/>
        <v>0</v>
      </c>
      <c r="BP44" s="1">
        <f t="shared" si="184"/>
        <v>0</v>
      </c>
      <c r="BQ44" s="1">
        <f t="shared" si="185"/>
        <v>0</v>
      </c>
      <c r="BR44" s="1">
        <f t="shared" si="186"/>
        <v>0</v>
      </c>
      <c r="BS44" s="1">
        <f t="shared" si="187"/>
        <v>0</v>
      </c>
      <c r="BT44" s="1">
        <f t="shared" si="188"/>
        <v>0</v>
      </c>
      <c r="BU44" s="1">
        <f t="shared" si="189"/>
        <v>0</v>
      </c>
      <c r="BV44" s="1">
        <f t="shared" si="190"/>
        <v>0</v>
      </c>
      <c r="BW44" s="1">
        <f t="shared" si="191"/>
        <v>0</v>
      </c>
      <c r="BX44" s="1">
        <f t="shared" si="192"/>
        <v>0</v>
      </c>
      <c r="BY44" s="1">
        <f t="shared" si="193"/>
        <v>0</v>
      </c>
      <c r="BZ44" s="1">
        <f t="shared" si="194"/>
        <v>0</v>
      </c>
      <c r="CA44" s="1">
        <f t="shared" si="195"/>
        <v>0</v>
      </c>
      <c r="CB44" s="1">
        <f t="shared" si="196"/>
        <v>0</v>
      </c>
      <c r="CC44" s="1">
        <f t="shared" si="197"/>
        <v>0</v>
      </c>
      <c r="CD44" s="1">
        <f t="shared" si="198"/>
        <v>0</v>
      </c>
      <c r="CE44" s="1">
        <f t="shared" si="199"/>
        <v>0</v>
      </c>
      <c r="CF44" s="24">
        <f t="shared" si="200"/>
        <v>0</v>
      </c>
      <c r="CG44" s="1">
        <f>$I44*$K44*L44</f>
        <v>0</v>
      </c>
      <c r="CH44" s="1">
        <f t="shared" si="439"/>
        <v>0</v>
      </c>
      <c r="CI44" s="1">
        <f t="shared" si="440"/>
        <v>0</v>
      </c>
      <c r="CJ44" s="1">
        <f t="shared" si="203"/>
        <v>514.28571428571422</v>
      </c>
      <c r="CK44" s="1">
        <f t="shared" si="203"/>
        <v>1285.7142857142858</v>
      </c>
      <c r="CL44" s="1">
        <f t="shared" si="204"/>
        <v>0</v>
      </c>
      <c r="CM44" s="1">
        <f t="shared" si="205"/>
        <v>0</v>
      </c>
      <c r="CN44" s="1">
        <f t="shared" si="206"/>
        <v>0</v>
      </c>
      <c r="CO44" s="1">
        <f t="shared" si="207"/>
        <v>0</v>
      </c>
      <c r="CP44" s="1">
        <f t="shared" si="208"/>
        <v>0</v>
      </c>
      <c r="CQ44" s="1">
        <f t="shared" si="209"/>
        <v>0</v>
      </c>
      <c r="CR44" s="1">
        <f t="shared" si="210"/>
        <v>0</v>
      </c>
      <c r="CS44" s="1">
        <f t="shared" si="211"/>
        <v>0</v>
      </c>
      <c r="CT44" s="1">
        <f t="shared" si="212"/>
        <v>0</v>
      </c>
      <c r="CU44" s="1">
        <f t="shared" si="213"/>
        <v>0</v>
      </c>
      <c r="CV44" s="1">
        <f t="shared" si="214"/>
        <v>0</v>
      </c>
      <c r="CW44" s="1">
        <f t="shared" si="215"/>
        <v>0</v>
      </c>
      <c r="CX44" s="1">
        <f t="shared" si="216"/>
        <v>0</v>
      </c>
      <c r="CY44" s="1">
        <f t="shared" si="217"/>
        <v>0</v>
      </c>
      <c r="CZ44" s="1">
        <f t="shared" si="218"/>
        <v>0</v>
      </c>
      <c r="DA44" s="1">
        <f t="shared" si="219"/>
        <v>0</v>
      </c>
      <c r="DB44" s="1">
        <f t="shared" si="220"/>
        <v>0</v>
      </c>
      <c r="DC44" s="1">
        <f t="shared" si="221"/>
        <v>0</v>
      </c>
      <c r="DD44" s="24">
        <f t="shared" si="222"/>
        <v>0</v>
      </c>
      <c r="DE44" s="1">
        <f>$I44*$C$9*L44</f>
        <v>0</v>
      </c>
      <c r="DF44" s="1">
        <f t="shared" si="441"/>
        <v>0</v>
      </c>
      <c r="DG44" s="1">
        <f t="shared" si="442"/>
        <v>0</v>
      </c>
      <c r="DH44" s="1">
        <f t="shared" si="225"/>
        <v>34.285714285714285</v>
      </c>
      <c r="DI44" s="1">
        <f t="shared" si="225"/>
        <v>85.714285714285722</v>
      </c>
      <c r="DJ44" s="1">
        <f t="shared" si="226"/>
        <v>0</v>
      </c>
      <c r="DK44" s="1">
        <f t="shared" si="227"/>
        <v>0</v>
      </c>
      <c r="DL44" s="1">
        <f t="shared" si="228"/>
        <v>0</v>
      </c>
      <c r="DM44" s="1">
        <f t="shared" si="229"/>
        <v>0</v>
      </c>
      <c r="DN44" s="1">
        <f t="shared" si="230"/>
        <v>0</v>
      </c>
      <c r="DO44" s="1">
        <f t="shared" si="231"/>
        <v>0</v>
      </c>
      <c r="DP44" s="1">
        <f t="shared" si="232"/>
        <v>0</v>
      </c>
      <c r="DQ44" s="1">
        <f t="shared" si="233"/>
        <v>0</v>
      </c>
      <c r="DR44" s="1">
        <f t="shared" si="234"/>
        <v>0</v>
      </c>
      <c r="DS44" s="1">
        <f t="shared" si="235"/>
        <v>0</v>
      </c>
      <c r="DT44" s="1">
        <f t="shared" si="236"/>
        <v>0</v>
      </c>
      <c r="DU44" s="1">
        <f t="shared" si="237"/>
        <v>0</v>
      </c>
      <c r="DV44" s="1">
        <f t="shared" si="238"/>
        <v>0</v>
      </c>
      <c r="DW44" s="1">
        <f t="shared" si="239"/>
        <v>0</v>
      </c>
      <c r="DX44" s="1">
        <f t="shared" si="240"/>
        <v>0</v>
      </c>
      <c r="DY44" s="1">
        <f t="shared" si="241"/>
        <v>0</v>
      </c>
      <c r="DZ44" s="1">
        <f t="shared" si="242"/>
        <v>0</v>
      </c>
      <c r="EA44" s="1">
        <f t="shared" si="243"/>
        <v>0</v>
      </c>
      <c r="EB44" s="24">
        <f t="shared" si="244"/>
        <v>0</v>
      </c>
    </row>
    <row r="45" spans="2:132" ht="13.8" thickBot="1" x14ac:dyDescent="0.3">
      <c r="B45" s="13" t="str">
        <f>'Gårdens info'!C100</f>
        <v>paketbil</v>
      </c>
      <c r="C45" s="33"/>
      <c r="D45" s="14"/>
      <c r="E45" s="33">
        <f>'Gårdens info'!J98</f>
        <v>2024</v>
      </c>
      <c r="F45" s="14"/>
      <c r="G45" s="14"/>
      <c r="H45" s="417">
        <v>15</v>
      </c>
      <c r="I45">
        <f>'Gårdens info'!D98</f>
        <v>2500</v>
      </c>
      <c r="J45" s="417">
        <f t="shared" si="155"/>
        <v>0</v>
      </c>
      <c r="K45" s="418">
        <v>0.03</v>
      </c>
      <c r="L45"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45"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45"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45"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45"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45"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45"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45"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45"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45"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45"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45"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45"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45"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45"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45"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45"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45"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45"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45"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45"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45"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45"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45"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45" s="411">
        <f t="shared" si="156"/>
        <v>1</v>
      </c>
      <c r="AK45" s="1">
        <f t="shared" si="157"/>
        <v>35.460992907801419</v>
      </c>
      <c r="AL45" s="1">
        <f t="shared" si="435"/>
        <v>35.460992907801419</v>
      </c>
      <c r="AM45" s="1">
        <f t="shared" si="436"/>
        <v>35.460992907801419</v>
      </c>
      <c r="AN45" s="1">
        <f t="shared" si="159"/>
        <v>7.0921985815602833</v>
      </c>
      <c r="AO45" s="1">
        <f t="shared" si="159"/>
        <v>17.730496453900709</v>
      </c>
      <c r="AP45" s="1">
        <f t="shared" si="160"/>
        <v>7.0921985815602833</v>
      </c>
      <c r="AQ45" s="1">
        <f t="shared" si="161"/>
        <v>0</v>
      </c>
      <c r="AR45" s="1">
        <f t="shared" si="162"/>
        <v>0</v>
      </c>
      <c r="AS45" s="1">
        <f t="shared" si="163"/>
        <v>0</v>
      </c>
      <c r="AT45" s="1">
        <f t="shared" si="164"/>
        <v>0</v>
      </c>
      <c r="AU45" s="1">
        <f t="shared" si="165"/>
        <v>0</v>
      </c>
      <c r="AV45" s="1">
        <f t="shared" si="166"/>
        <v>10.638297872340424</v>
      </c>
      <c r="AW45" s="1">
        <f t="shared" si="167"/>
        <v>0</v>
      </c>
      <c r="AX45" s="1">
        <f t="shared" si="168"/>
        <v>0</v>
      </c>
      <c r="AY45" s="1">
        <f t="shared" si="169"/>
        <v>0</v>
      </c>
      <c r="AZ45" s="1">
        <f t="shared" si="170"/>
        <v>0</v>
      </c>
      <c r="BA45" s="1">
        <f t="shared" si="171"/>
        <v>0</v>
      </c>
      <c r="BB45" s="1">
        <f t="shared" si="172"/>
        <v>17.730496453900709</v>
      </c>
      <c r="BC45" s="1">
        <f t="shared" si="173"/>
        <v>0</v>
      </c>
      <c r="BD45" s="1">
        <f t="shared" si="174"/>
        <v>0</v>
      </c>
      <c r="BE45" s="1">
        <f t="shared" si="175"/>
        <v>0</v>
      </c>
      <c r="BF45" s="1">
        <f t="shared" si="176"/>
        <v>0</v>
      </c>
      <c r="BG45" s="1">
        <f t="shared" si="177"/>
        <v>0</v>
      </c>
      <c r="BH45" s="1">
        <f t="shared" si="178"/>
        <v>0</v>
      </c>
      <c r="BI45" s="23">
        <f t="shared" si="179"/>
        <v>13.297872340425531</v>
      </c>
      <c r="BJ45" s="1">
        <f t="shared" si="437"/>
        <v>13.297872340425531</v>
      </c>
      <c r="BK45" s="1">
        <f t="shared" si="438"/>
        <v>13.297872340425531</v>
      </c>
      <c r="BL45" s="1">
        <f t="shared" si="181"/>
        <v>2.6595744680851063</v>
      </c>
      <c r="BM45" s="1">
        <f t="shared" si="181"/>
        <v>6.6489361702127656</v>
      </c>
      <c r="BN45" s="1">
        <f t="shared" si="182"/>
        <v>2.6595744680851063</v>
      </c>
      <c r="BO45" s="1">
        <f t="shared" si="183"/>
        <v>0</v>
      </c>
      <c r="BP45" s="1">
        <f t="shared" si="184"/>
        <v>0</v>
      </c>
      <c r="BQ45" s="1">
        <f t="shared" si="185"/>
        <v>0</v>
      </c>
      <c r="BR45" s="1">
        <f t="shared" si="186"/>
        <v>0</v>
      </c>
      <c r="BS45" s="1">
        <f t="shared" si="187"/>
        <v>0</v>
      </c>
      <c r="BT45" s="1">
        <f t="shared" si="188"/>
        <v>3.9893617021276593</v>
      </c>
      <c r="BU45" s="1">
        <f t="shared" si="189"/>
        <v>0</v>
      </c>
      <c r="BV45" s="1">
        <f t="shared" si="190"/>
        <v>0</v>
      </c>
      <c r="BW45" s="1">
        <f t="shared" si="191"/>
        <v>0</v>
      </c>
      <c r="BX45" s="1">
        <f t="shared" si="192"/>
        <v>0</v>
      </c>
      <c r="BY45" s="1">
        <f t="shared" si="193"/>
        <v>0</v>
      </c>
      <c r="BZ45" s="1">
        <f t="shared" si="194"/>
        <v>6.6489361702127656</v>
      </c>
      <c r="CA45" s="1">
        <f t="shared" si="195"/>
        <v>0</v>
      </c>
      <c r="CB45" s="1">
        <f t="shared" si="196"/>
        <v>0</v>
      </c>
      <c r="CC45" s="1">
        <f t="shared" si="197"/>
        <v>0</v>
      </c>
      <c r="CD45" s="1">
        <f t="shared" si="198"/>
        <v>0</v>
      </c>
      <c r="CE45" s="1">
        <f t="shared" si="199"/>
        <v>0</v>
      </c>
      <c r="CF45" s="1">
        <f t="shared" si="200"/>
        <v>0</v>
      </c>
      <c r="CG45" s="23">
        <f t="shared" si="201"/>
        <v>15.957446808510639</v>
      </c>
      <c r="CH45" s="1">
        <f t="shared" si="439"/>
        <v>15.957446808510639</v>
      </c>
      <c r="CI45" s="1">
        <f t="shared" si="440"/>
        <v>15.957446808510639</v>
      </c>
      <c r="CJ45" s="1">
        <f t="shared" si="203"/>
        <v>3.1914893617021276</v>
      </c>
      <c r="CK45" s="1">
        <f t="shared" si="203"/>
        <v>7.9787234042553195</v>
      </c>
      <c r="CL45" s="1">
        <f t="shared" si="204"/>
        <v>3.1914893617021276</v>
      </c>
      <c r="CM45" s="1">
        <f t="shared" si="205"/>
        <v>0</v>
      </c>
      <c r="CN45" s="1">
        <f t="shared" si="206"/>
        <v>0</v>
      </c>
      <c r="CO45" s="1">
        <f t="shared" si="207"/>
        <v>0</v>
      </c>
      <c r="CP45" s="1">
        <f t="shared" si="208"/>
        <v>0</v>
      </c>
      <c r="CQ45" s="1">
        <f t="shared" si="209"/>
        <v>0</v>
      </c>
      <c r="CR45" s="1">
        <f t="shared" si="210"/>
        <v>4.787234042553191</v>
      </c>
      <c r="CS45" s="1">
        <f t="shared" si="211"/>
        <v>0</v>
      </c>
      <c r="CT45" s="1">
        <f t="shared" si="212"/>
        <v>0</v>
      </c>
      <c r="CU45" s="1">
        <f t="shared" si="213"/>
        <v>0</v>
      </c>
      <c r="CV45" s="1">
        <f t="shared" si="214"/>
        <v>0</v>
      </c>
      <c r="CW45" s="1">
        <f t="shared" si="215"/>
        <v>0</v>
      </c>
      <c r="CX45" s="1">
        <f t="shared" si="216"/>
        <v>7.9787234042553195</v>
      </c>
      <c r="CY45" s="1">
        <f t="shared" si="217"/>
        <v>0</v>
      </c>
      <c r="CZ45" s="1">
        <f t="shared" si="218"/>
        <v>0</v>
      </c>
      <c r="DA45" s="1">
        <f t="shared" si="219"/>
        <v>0</v>
      </c>
      <c r="DB45" s="1">
        <f t="shared" si="220"/>
        <v>0</v>
      </c>
      <c r="DC45" s="1">
        <f t="shared" si="221"/>
        <v>0</v>
      </c>
      <c r="DD45" s="24">
        <f t="shared" si="222"/>
        <v>0</v>
      </c>
      <c r="DE45" s="1">
        <f t="shared" si="223"/>
        <v>1.0638297872340425</v>
      </c>
      <c r="DF45" s="1">
        <f t="shared" si="441"/>
        <v>1.0638297872340425</v>
      </c>
      <c r="DG45" s="1">
        <f t="shared" si="442"/>
        <v>1.0638297872340425</v>
      </c>
      <c r="DH45" s="1">
        <f t="shared" si="225"/>
        <v>0.21276595744680851</v>
      </c>
      <c r="DI45" s="1">
        <f t="shared" si="225"/>
        <v>0.53191489361702127</v>
      </c>
      <c r="DJ45" s="1">
        <f t="shared" si="226"/>
        <v>0.21276595744680851</v>
      </c>
      <c r="DK45" s="1">
        <f t="shared" si="227"/>
        <v>0</v>
      </c>
      <c r="DL45" s="1">
        <f t="shared" si="228"/>
        <v>0</v>
      </c>
      <c r="DM45" s="1">
        <f t="shared" si="229"/>
        <v>0</v>
      </c>
      <c r="DN45" s="1">
        <f t="shared" si="230"/>
        <v>0</v>
      </c>
      <c r="DO45" s="1">
        <f t="shared" si="231"/>
        <v>0</v>
      </c>
      <c r="DP45" s="1">
        <f t="shared" si="232"/>
        <v>0.31914893617021273</v>
      </c>
      <c r="DQ45" s="1">
        <f t="shared" si="233"/>
        <v>0</v>
      </c>
      <c r="DR45" s="1">
        <f t="shared" si="234"/>
        <v>0</v>
      </c>
      <c r="DS45" s="1">
        <f t="shared" si="235"/>
        <v>0</v>
      </c>
      <c r="DT45" s="1">
        <f t="shared" si="236"/>
        <v>0</v>
      </c>
      <c r="DU45" s="1">
        <f t="shared" si="237"/>
        <v>0</v>
      </c>
      <c r="DV45" s="1">
        <f t="shared" si="238"/>
        <v>0.53191489361702127</v>
      </c>
      <c r="DW45" s="1">
        <f t="shared" si="239"/>
        <v>0</v>
      </c>
      <c r="DX45" s="1">
        <f t="shared" si="240"/>
        <v>0</v>
      </c>
      <c r="DY45" s="1">
        <f t="shared" si="241"/>
        <v>0</v>
      </c>
      <c r="DZ45" s="1">
        <f t="shared" si="242"/>
        <v>0</v>
      </c>
      <c r="EA45" s="1">
        <f t="shared" si="243"/>
        <v>0</v>
      </c>
      <c r="EB45" s="24">
        <f t="shared" si="244"/>
        <v>0</v>
      </c>
    </row>
    <row r="46" spans="2:132" ht="13.8" thickBot="1" x14ac:dyDescent="0.3">
      <c r="B46" s="13" t="str">
        <f>'Gårdens info'!C101</f>
        <v>kallvattentvättare</v>
      </c>
      <c r="C46" s="33"/>
      <c r="D46" s="14"/>
      <c r="E46" s="33">
        <v>2019</v>
      </c>
      <c r="F46" s="14"/>
      <c r="G46" s="14"/>
      <c r="H46" s="417">
        <v>15</v>
      </c>
      <c r="I46">
        <f>'Gårdens info'!D99</f>
        <v>7600</v>
      </c>
      <c r="J46" s="417">
        <f t="shared" si="155"/>
        <v>0</v>
      </c>
      <c r="K46" s="418">
        <v>0.03</v>
      </c>
      <c r="L46"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46"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46"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46"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46"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46"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46"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46"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46"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46"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46"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46"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46"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46"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46"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46"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46"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46"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46"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46"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46"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46"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46"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46"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46" s="411">
        <f t="shared" si="156"/>
        <v>1</v>
      </c>
      <c r="AK46" s="1">
        <f t="shared" si="157"/>
        <v>107.80141843971631</v>
      </c>
      <c r="AL46" s="1">
        <f t="shared" si="435"/>
        <v>107.80141843971631</v>
      </c>
      <c r="AM46" s="1">
        <f t="shared" si="436"/>
        <v>107.80141843971631</v>
      </c>
      <c r="AN46" s="1">
        <f t="shared" si="159"/>
        <v>21.560283687943262</v>
      </c>
      <c r="AO46" s="1">
        <f t="shared" si="159"/>
        <v>53.900709219858157</v>
      </c>
      <c r="AP46" s="1">
        <f t="shared" si="160"/>
        <v>21.560283687943262</v>
      </c>
      <c r="AQ46" s="1">
        <f t="shared" si="161"/>
        <v>0</v>
      </c>
      <c r="AR46" s="1">
        <f t="shared" si="162"/>
        <v>0</v>
      </c>
      <c r="AS46" s="1">
        <f t="shared" si="163"/>
        <v>0</v>
      </c>
      <c r="AT46" s="1">
        <f t="shared" si="164"/>
        <v>0</v>
      </c>
      <c r="AU46" s="1">
        <f t="shared" si="165"/>
        <v>0</v>
      </c>
      <c r="AV46" s="1">
        <f t="shared" si="166"/>
        <v>32.340425531914889</v>
      </c>
      <c r="AW46" s="1">
        <f t="shared" si="167"/>
        <v>0</v>
      </c>
      <c r="AX46" s="1">
        <f t="shared" si="168"/>
        <v>0</v>
      </c>
      <c r="AY46" s="1">
        <f t="shared" si="169"/>
        <v>0</v>
      </c>
      <c r="AZ46" s="1">
        <f t="shared" si="170"/>
        <v>0</v>
      </c>
      <c r="BA46" s="1">
        <f t="shared" si="171"/>
        <v>0</v>
      </c>
      <c r="BB46" s="1">
        <f t="shared" si="172"/>
        <v>53.900709219858157</v>
      </c>
      <c r="BC46" s="1">
        <f t="shared" si="173"/>
        <v>0</v>
      </c>
      <c r="BD46" s="1">
        <f t="shared" si="174"/>
        <v>0</v>
      </c>
      <c r="BE46" s="1">
        <f t="shared" si="175"/>
        <v>0</v>
      </c>
      <c r="BF46" s="1">
        <f t="shared" si="176"/>
        <v>0</v>
      </c>
      <c r="BG46" s="1">
        <f t="shared" si="177"/>
        <v>0</v>
      </c>
      <c r="BH46" s="1">
        <f t="shared" si="178"/>
        <v>0</v>
      </c>
      <c r="BI46" s="23">
        <f t="shared" si="179"/>
        <v>40.425531914893618</v>
      </c>
      <c r="BJ46" s="1">
        <f t="shared" si="437"/>
        <v>40.425531914893618</v>
      </c>
      <c r="BK46" s="1">
        <f t="shared" si="438"/>
        <v>40.425531914893618</v>
      </c>
      <c r="BL46" s="1">
        <f t="shared" si="181"/>
        <v>8.085106382978724</v>
      </c>
      <c r="BM46" s="1">
        <f t="shared" si="181"/>
        <v>20.212765957446809</v>
      </c>
      <c r="BN46" s="1">
        <f t="shared" si="182"/>
        <v>8.085106382978724</v>
      </c>
      <c r="BO46" s="1">
        <f t="shared" si="183"/>
        <v>0</v>
      </c>
      <c r="BP46" s="1">
        <f t="shared" si="184"/>
        <v>0</v>
      </c>
      <c r="BQ46" s="1">
        <f t="shared" si="185"/>
        <v>0</v>
      </c>
      <c r="BR46" s="1">
        <f t="shared" si="186"/>
        <v>0</v>
      </c>
      <c r="BS46" s="1">
        <f t="shared" si="187"/>
        <v>0</v>
      </c>
      <c r="BT46" s="1">
        <f t="shared" si="188"/>
        <v>12.127659574468083</v>
      </c>
      <c r="BU46" s="1">
        <f t="shared" si="189"/>
        <v>0</v>
      </c>
      <c r="BV46" s="1">
        <f t="shared" si="190"/>
        <v>0</v>
      </c>
      <c r="BW46" s="1">
        <f t="shared" si="191"/>
        <v>0</v>
      </c>
      <c r="BX46" s="1">
        <f t="shared" si="192"/>
        <v>0</v>
      </c>
      <c r="BY46" s="1">
        <f t="shared" si="193"/>
        <v>0</v>
      </c>
      <c r="BZ46" s="1">
        <f t="shared" si="194"/>
        <v>20.212765957446809</v>
      </c>
      <c r="CA46" s="1">
        <f t="shared" si="195"/>
        <v>0</v>
      </c>
      <c r="CB46" s="1">
        <f t="shared" si="196"/>
        <v>0</v>
      </c>
      <c r="CC46" s="1">
        <f t="shared" si="197"/>
        <v>0</v>
      </c>
      <c r="CD46" s="1">
        <f t="shared" si="198"/>
        <v>0</v>
      </c>
      <c r="CE46" s="1">
        <f t="shared" si="199"/>
        <v>0</v>
      </c>
      <c r="CF46" s="1">
        <f t="shared" si="200"/>
        <v>0</v>
      </c>
      <c r="CG46" s="23">
        <f t="shared" si="201"/>
        <v>48.51063829787234</v>
      </c>
      <c r="CH46" s="1">
        <f t="shared" si="439"/>
        <v>48.51063829787234</v>
      </c>
      <c r="CI46" s="1">
        <f t="shared" si="440"/>
        <v>48.51063829787234</v>
      </c>
      <c r="CJ46" s="1">
        <f t="shared" si="203"/>
        <v>9.702127659574467</v>
      </c>
      <c r="CK46" s="1">
        <f t="shared" si="203"/>
        <v>24.25531914893617</v>
      </c>
      <c r="CL46" s="1">
        <f t="shared" si="204"/>
        <v>9.702127659574467</v>
      </c>
      <c r="CM46" s="1">
        <f t="shared" si="205"/>
        <v>0</v>
      </c>
      <c r="CN46" s="1">
        <f t="shared" si="206"/>
        <v>0</v>
      </c>
      <c r="CO46" s="1">
        <f t="shared" si="207"/>
        <v>0</v>
      </c>
      <c r="CP46" s="1">
        <f t="shared" si="208"/>
        <v>0</v>
      </c>
      <c r="CQ46" s="1">
        <f t="shared" si="209"/>
        <v>0</v>
      </c>
      <c r="CR46" s="1">
        <f t="shared" si="210"/>
        <v>14.553191489361701</v>
      </c>
      <c r="CS46" s="1">
        <f t="shared" si="211"/>
        <v>0</v>
      </c>
      <c r="CT46" s="1">
        <f t="shared" si="212"/>
        <v>0</v>
      </c>
      <c r="CU46" s="1">
        <f t="shared" si="213"/>
        <v>0</v>
      </c>
      <c r="CV46" s="1">
        <f t="shared" si="214"/>
        <v>0</v>
      </c>
      <c r="CW46" s="1">
        <f t="shared" si="215"/>
        <v>0</v>
      </c>
      <c r="CX46" s="1">
        <f t="shared" si="216"/>
        <v>24.25531914893617</v>
      </c>
      <c r="CY46" s="1">
        <f t="shared" si="217"/>
        <v>0</v>
      </c>
      <c r="CZ46" s="1">
        <f t="shared" si="218"/>
        <v>0</v>
      </c>
      <c r="DA46" s="1">
        <f t="shared" si="219"/>
        <v>0</v>
      </c>
      <c r="DB46" s="1">
        <f t="shared" si="220"/>
        <v>0</v>
      </c>
      <c r="DC46" s="1">
        <f t="shared" si="221"/>
        <v>0</v>
      </c>
      <c r="DD46" s="24">
        <f t="shared" si="222"/>
        <v>0</v>
      </c>
      <c r="DE46" s="1">
        <f t="shared" si="223"/>
        <v>3.2340425531914896</v>
      </c>
      <c r="DF46" s="1">
        <f t="shared" si="441"/>
        <v>3.2340425531914896</v>
      </c>
      <c r="DG46" s="1">
        <f t="shared" si="442"/>
        <v>3.2340425531914896</v>
      </c>
      <c r="DH46" s="1">
        <f t="shared" si="225"/>
        <v>0.64680851063829792</v>
      </c>
      <c r="DI46" s="1">
        <f t="shared" si="225"/>
        <v>1.6170212765957448</v>
      </c>
      <c r="DJ46" s="1">
        <f t="shared" si="226"/>
        <v>0.64680851063829792</v>
      </c>
      <c r="DK46" s="1">
        <f t="shared" si="227"/>
        <v>0</v>
      </c>
      <c r="DL46" s="1">
        <f t="shared" si="228"/>
        <v>0</v>
      </c>
      <c r="DM46" s="1">
        <f t="shared" si="229"/>
        <v>0</v>
      </c>
      <c r="DN46" s="1">
        <f t="shared" si="230"/>
        <v>0</v>
      </c>
      <c r="DO46" s="1">
        <f t="shared" si="231"/>
        <v>0</v>
      </c>
      <c r="DP46" s="1">
        <f t="shared" si="232"/>
        <v>0.97021276595744677</v>
      </c>
      <c r="DQ46" s="1">
        <f t="shared" si="233"/>
        <v>0</v>
      </c>
      <c r="DR46" s="1">
        <f t="shared" si="234"/>
        <v>0</v>
      </c>
      <c r="DS46" s="1">
        <f t="shared" si="235"/>
        <v>0</v>
      </c>
      <c r="DT46" s="1">
        <f t="shared" si="236"/>
        <v>0</v>
      </c>
      <c r="DU46" s="1">
        <f t="shared" si="237"/>
        <v>0</v>
      </c>
      <c r="DV46" s="1">
        <f t="shared" si="238"/>
        <v>1.6170212765957448</v>
      </c>
      <c r="DW46" s="1">
        <f t="shared" si="239"/>
        <v>0</v>
      </c>
      <c r="DX46" s="1">
        <f t="shared" si="240"/>
        <v>0</v>
      </c>
      <c r="DY46" s="1">
        <f t="shared" si="241"/>
        <v>0</v>
      </c>
      <c r="DZ46" s="1">
        <f t="shared" si="242"/>
        <v>0</v>
      </c>
      <c r="EA46" s="1">
        <f t="shared" si="243"/>
        <v>0</v>
      </c>
      <c r="EB46" s="24">
        <f t="shared" si="244"/>
        <v>0</v>
      </c>
    </row>
    <row r="47" spans="2:132" ht="13.8" thickBot="1" x14ac:dyDescent="0.3">
      <c r="B47" s="13" t="str">
        <f>'Gårdens info'!C102</f>
        <v>körbar gräsklippare</v>
      </c>
      <c r="C47" s="33"/>
      <c r="D47" s="14"/>
      <c r="E47" s="33">
        <v>2022</v>
      </c>
      <c r="F47" s="14"/>
      <c r="G47" s="14"/>
      <c r="H47" s="417">
        <v>15</v>
      </c>
      <c r="I47">
        <f>'Gårdens info'!D100</f>
        <v>15000</v>
      </c>
      <c r="J47" s="417">
        <f t="shared" si="155"/>
        <v>0</v>
      </c>
      <c r="K47" s="418">
        <v>0.03</v>
      </c>
      <c r="L47"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47"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47"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47"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47"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47"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47"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47"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47"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47"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47"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47"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47"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47"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47"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47"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47"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47"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47"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47"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47"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47"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47"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47"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47" s="411">
        <f t="shared" si="156"/>
        <v>1</v>
      </c>
      <c r="AK47" s="1">
        <f t="shared" si="157"/>
        <v>212.7659574468085</v>
      </c>
      <c r="AL47" s="1">
        <f t="shared" si="435"/>
        <v>212.7659574468085</v>
      </c>
      <c r="AM47" s="1">
        <f t="shared" si="436"/>
        <v>212.7659574468085</v>
      </c>
      <c r="AN47" s="1">
        <f t="shared" si="159"/>
        <v>42.553191489361701</v>
      </c>
      <c r="AO47" s="1">
        <f t="shared" si="159"/>
        <v>106.38297872340425</v>
      </c>
      <c r="AP47" s="1">
        <f t="shared" si="160"/>
        <v>42.553191489361701</v>
      </c>
      <c r="AQ47" s="1">
        <f t="shared" si="161"/>
        <v>0</v>
      </c>
      <c r="AR47" s="1">
        <f t="shared" si="162"/>
        <v>0</v>
      </c>
      <c r="AS47" s="1">
        <f t="shared" si="163"/>
        <v>0</v>
      </c>
      <c r="AT47" s="1">
        <f t="shared" si="164"/>
        <v>0</v>
      </c>
      <c r="AU47" s="1">
        <f t="shared" si="165"/>
        <v>0</v>
      </c>
      <c r="AV47" s="1">
        <f t="shared" si="166"/>
        <v>63.829787234042549</v>
      </c>
      <c r="AW47" s="1">
        <f t="shared" si="167"/>
        <v>0</v>
      </c>
      <c r="AX47" s="1">
        <f t="shared" si="168"/>
        <v>0</v>
      </c>
      <c r="AY47" s="1">
        <f t="shared" si="169"/>
        <v>0</v>
      </c>
      <c r="AZ47" s="1">
        <f t="shared" si="170"/>
        <v>0</v>
      </c>
      <c r="BA47" s="1">
        <f t="shared" si="171"/>
        <v>0</v>
      </c>
      <c r="BB47" s="1">
        <f t="shared" si="172"/>
        <v>106.38297872340425</v>
      </c>
      <c r="BC47" s="1">
        <f t="shared" si="173"/>
        <v>0</v>
      </c>
      <c r="BD47" s="1">
        <f t="shared" si="174"/>
        <v>0</v>
      </c>
      <c r="BE47" s="1">
        <f t="shared" si="175"/>
        <v>0</v>
      </c>
      <c r="BF47" s="1">
        <f t="shared" si="176"/>
        <v>0</v>
      </c>
      <c r="BG47" s="1">
        <f t="shared" si="177"/>
        <v>0</v>
      </c>
      <c r="BH47" s="1">
        <f t="shared" si="178"/>
        <v>0</v>
      </c>
      <c r="BI47" s="23">
        <f t="shared" si="179"/>
        <v>79.787234042553195</v>
      </c>
      <c r="BJ47" s="1">
        <f t="shared" si="437"/>
        <v>79.787234042553195</v>
      </c>
      <c r="BK47" s="1">
        <f t="shared" si="438"/>
        <v>79.787234042553195</v>
      </c>
      <c r="BL47" s="1">
        <f t="shared" si="181"/>
        <v>15.957446808510637</v>
      </c>
      <c r="BM47" s="1">
        <f t="shared" si="181"/>
        <v>39.893617021276597</v>
      </c>
      <c r="BN47" s="1">
        <f t="shared" si="182"/>
        <v>15.957446808510637</v>
      </c>
      <c r="BO47" s="1">
        <f t="shared" si="183"/>
        <v>0</v>
      </c>
      <c r="BP47" s="1">
        <f t="shared" si="184"/>
        <v>0</v>
      </c>
      <c r="BQ47" s="1">
        <f t="shared" si="185"/>
        <v>0</v>
      </c>
      <c r="BR47" s="1">
        <f t="shared" si="186"/>
        <v>0</v>
      </c>
      <c r="BS47" s="1">
        <f t="shared" si="187"/>
        <v>0</v>
      </c>
      <c r="BT47" s="1">
        <f t="shared" si="188"/>
        <v>23.936170212765955</v>
      </c>
      <c r="BU47" s="1">
        <f t="shared" si="189"/>
        <v>0</v>
      </c>
      <c r="BV47" s="1">
        <f t="shared" si="190"/>
        <v>0</v>
      </c>
      <c r="BW47" s="1">
        <f t="shared" si="191"/>
        <v>0</v>
      </c>
      <c r="BX47" s="1">
        <f t="shared" si="192"/>
        <v>0</v>
      </c>
      <c r="BY47" s="1">
        <f t="shared" si="193"/>
        <v>0</v>
      </c>
      <c r="BZ47" s="1">
        <f t="shared" si="194"/>
        <v>39.893617021276597</v>
      </c>
      <c r="CA47" s="1">
        <f t="shared" si="195"/>
        <v>0</v>
      </c>
      <c r="CB47" s="1">
        <f t="shared" si="196"/>
        <v>0</v>
      </c>
      <c r="CC47" s="1">
        <f t="shared" si="197"/>
        <v>0</v>
      </c>
      <c r="CD47" s="1">
        <f t="shared" si="198"/>
        <v>0</v>
      </c>
      <c r="CE47" s="1">
        <f t="shared" si="199"/>
        <v>0</v>
      </c>
      <c r="CF47" s="1">
        <f t="shared" si="200"/>
        <v>0</v>
      </c>
      <c r="CG47" s="23">
        <f t="shared" si="201"/>
        <v>95.744680851063833</v>
      </c>
      <c r="CH47" s="1">
        <f t="shared" si="439"/>
        <v>95.744680851063833</v>
      </c>
      <c r="CI47" s="1">
        <f t="shared" si="440"/>
        <v>95.744680851063833</v>
      </c>
      <c r="CJ47" s="1">
        <f t="shared" si="203"/>
        <v>19.148936170212764</v>
      </c>
      <c r="CK47" s="1">
        <f t="shared" si="203"/>
        <v>47.872340425531917</v>
      </c>
      <c r="CL47" s="1">
        <f t="shared" si="204"/>
        <v>19.148936170212764</v>
      </c>
      <c r="CM47" s="1">
        <f t="shared" si="205"/>
        <v>0</v>
      </c>
      <c r="CN47" s="1">
        <f t="shared" si="206"/>
        <v>0</v>
      </c>
      <c r="CO47" s="1">
        <f t="shared" si="207"/>
        <v>0</v>
      </c>
      <c r="CP47" s="1">
        <f t="shared" si="208"/>
        <v>0</v>
      </c>
      <c r="CQ47" s="1">
        <f t="shared" si="209"/>
        <v>0</v>
      </c>
      <c r="CR47" s="1">
        <f t="shared" si="210"/>
        <v>28.723404255319146</v>
      </c>
      <c r="CS47" s="1">
        <f t="shared" si="211"/>
        <v>0</v>
      </c>
      <c r="CT47" s="1">
        <f t="shared" si="212"/>
        <v>0</v>
      </c>
      <c r="CU47" s="1">
        <f t="shared" si="213"/>
        <v>0</v>
      </c>
      <c r="CV47" s="1">
        <f t="shared" si="214"/>
        <v>0</v>
      </c>
      <c r="CW47" s="1">
        <f t="shared" si="215"/>
        <v>0</v>
      </c>
      <c r="CX47" s="1">
        <f t="shared" si="216"/>
        <v>47.872340425531917</v>
      </c>
      <c r="CY47" s="1">
        <f t="shared" si="217"/>
        <v>0</v>
      </c>
      <c r="CZ47" s="1">
        <f t="shared" si="218"/>
        <v>0</v>
      </c>
      <c r="DA47" s="1">
        <f t="shared" si="219"/>
        <v>0</v>
      </c>
      <c r="DB47" s="1">
        <f t="shared" si="220"/>
        <v>0</v>
      </c>
      <c r="DC47" s="1">
        <f t="shared" si="221"/>
        <v>0</v>
      </c>
      <c r="DD47" s="24">
        <f t="shared" si="222"/>
        <v>0</v>
      </c>
      <c r="DE47" s="1">
        <f t="shared" si="223"/>
        <v>6.3829787234042552</v>
      </c>
      <c r="DF47" s="1">
        <f t="shared" si="441"/>
        <v>6.3829787234042552</v>
      </c>
      <c r="DG47" s="1">
        <f t="shared" si="442"/>
        <v>6.3829787234042552</v>
      </c>
      <c r="DH47" s="1">
        <f t="shared" si="225"/>
        <v>1.2765957446808511</v>
      </c>
      <c r="DI47" s="1">
        <f t="shared" si="225"/>
        <v>3.1914893617021276</v>
      </c>
      <c r="DJ47" s="1">
        <f t="shared" si="226"/>
        <v>1.2765957446808511</v>
      </c>
      <c r="DK47" s="1">
        <f t="shared" si="227"/>
        <v>0</v>
      </c>
      <c r="DL47" s="1">
        <f t="shared" si="228"/>
        <v>0</v>
      </c>
      <c r="DM47" s="1">
        <f t="shared" si="229"/>
        <v>0</v>
      </c>
      <c r="DN47" s="1">
        <f t="shared" si="230"/>
        <v>0</v>
      </c>
      <c r="DO47" s="1">
        <f t="shared" si="231"/>
        <v>0</v>
      </c>
      <c r="DP47" s="1">
        <f t="shared" si="232"/>
        <v>1.9148936170212765</v>
      </c>
      <c r="DQ47" s="1">
        <f t="shared" si="233"/>
        <v>0</v>
      </c>
      <c r="DR47" s="1">
        <f t="shared" si="234"/>
        <v>0</v>
      </c>
      <c r="DS47" s="1">
        <f t="shared" si="235"/>
        <v>0</v>
      </c>
      <c r="DT47" s="1">
        <f t="shared" si="236"/>
        <v>0</v>
      </c>
      <c r="DU47" s="1">
        <f t="shared" si="237"/>
        <v>0</v>
      </c>
      <c r="DV47" s="1">
        <f t="shared" si="238"/>
        <v>3.1914893617021276</v>
      </c>
      <c r="DW47" s="1">
        <f t="shared" si="239"/>
        <v>0</v>
      </c>
      <c r="DX47" s="1">
        <f t="shared" si="240"/>
        <v>0</v>
      </c>
      <c r="DY47" s="1">
        <f t="shared" si="241"/>
        <v>0</v>
      </c>
      <c r="DZ47" s="1">
        <f t="shared" si="242"/>
        <v>0</v>
      </c>
      <c r="EA47" s="1">
        <f t="shared" si="243"/>
        <v>0</v>
      </c>
      <c r="EB47" s="24">
        <f t="shared" si="244"/>
        <v>0</v>
      </c>
    </row>
    <row r="48" spans="2:132" ht="13.8" thickBot="1" x14ac:dyDescent="0.3">
      <c r="B48" s="13" t="str">
        <f>'Gårdens info'!C103</f>
        <v>släpvagn</v>
      </c>
      <c r="C48" s="33"/>
      <c r="D48" s="14"/>
      <c r="E48" s="33">
        <v>2022</v>
      </c>
      <c r="F48" s="14"/>
      <c r="G48" s="14"/>
      <c r="H48" s="417">
        <v>15</v>
      </c>
      <c r="I48">
        <f>'Gårdens info'!D101</f>
        <v>500</v>
      </c>
      <c r="J48" s="417">
        <f t="shared" si="155"/>
        <v>0</v>
      </c>
      <c r="K48" s="418">
        <v>0.03</v>
      </c>
      <c r="L48"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48"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48"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48"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48"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48"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48"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48"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48"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48"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48"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48"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48"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48"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48"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48"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48"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48"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48"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48"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48"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48"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48"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48"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48" s="411">
        <f t="shared" si="156"/>
        <v>1</v>
      </c>
      <c r="AK48" s="1">
        <f t="shared" si="157"/>
        <v>7.0921985815602842</v>
      </c>
      <c r="AL48" s="1">
        <f t="shared" si="435"/>
        <v>7.0921985815602842</v>
      </c>
      <c r="AM48" s="1">
        <f t="shared" si="436"/>
        <v>7.0921985815602842</v>
      </c>
      <c r="AN48" s="1">
        <f t="shared" si="159"/>
        <v>1.4184397163120568</v>
      </c>
      <c r="AO48" s="1">
        <f t="shared" si="159"/>
        <v>3.5460992907801421</v>
      </c>
      <c r="AP48" s="1">
        <f t="shared" si="160"/>
        <v>1.4184397163120568</v>
      </c>
      <c r="AQ48" s="1">
        <f t="shared" si="161"/>
        <v>0</v>
      </c>
      <c r="AR48" s="1">
        <f t="shared" si="162"/>
        <v>0</v>
      </c>
      <c r="AS48" s="1">
        <f t="shared" si="163"/>
        <v>0</v>
      </c>
      <c r="AT48" s="1">
        <f t="shared" si="164"/>
        <v>0</v>
      </c>
      <c r="AU48" s="1">
        <f t="shared" si="165"/>
        <v>0</v>
      </c>
      <c r="AV48" s="1">
        <f t="shared" si="166"/>
        <v>2.1276595744680851</v>
      </c>
      <c r="AW48" s="1">
        <f t="shared" si="167"/>
        <v>0</v>
      </c>
      <c r="AX48" s="1">
        <f t="shared" si="168"/>
        <v>0</v>
      </c>
      <c r="AY48" s="1">
        <f t="shared" si="169"/>
        <v>0</v>
      </c>
      <c r="AZ48" s="1">
        <f t="shared" si="170"/>
        <v>0</v>
      </c>
      <c r="BA48" s="1">
        <f t="shared" si="171"/>
        <v>0</v>
      </c>
      <c r="BB48" s="1">
        <f t="shared" si="172"/>
        <v>3.5460992907801421</v>
      </c>
      <c r="BC48" s="1">
        <f t="shared" si="173"/>
        <v>0</v>
      </c>
      <c r="BD48" s="1">
        <f t="shared" si="174"/>
        <v>0</v>
      </c>
      <c r="BE48" s="1">
        <f t="shared" si="175"/>
        <v>0</v>
      </c>
      <c r="BF48" s="1">
        <f t="shared" si="176"/>
        <v>0</v>
      </c>
      <c r="BG48" s="1">
        <f t="shared" si="177"/>
        <v>0</v>
      </c>
      <c r="BH48" s="1">
        <f t="shared" si="178"/>
        <v>0</v>
      </c>
      <c r="BI48" s="23">
        <f t="shared" si="179"/>
        <v>2.6595744680851063</v>
      </c>
      <c r="BJ48" s="1">
        <f t="shared" si="437"/>
        <v>2.6595744680851063</v>
      </c>
      <c r="BK48" s="1">
        <f t="shared" si="438"/>
        <v>2.6595744680851063</v>
      </c>
      <c r="BL48" s="1">
        <f t="shared" si="181"/>
        <v>0.53191489361702127</v>
      </c>
      <c r="BM48" s="1">
        <f t="shared" si="181"/>
        <v>1.3297872340425532</v>
      </c>
      <c r="BN48" s="1">
        <f t="shared" si="182"/>
        <v>0.53191489361702127</v>
      </c>
      <c r="BO48" s="1">
        <f t="shared" si="183"/>
        <v>0</v>
      </c>
      <c r="BP48" s="1">
        <f t="shared" si="184"/>
        <v>0</v>
      </c>
      <c r="BQ48" s="1">
        <f t="shared" si="185"/>
        <v>0</v>
      </c>
      <c r="BR48" s="1">
        <f t="shared" si="186"/>
        <v>0</v>
      </c>
      <c r="BS48" s="1">
        <f t="shared" si="187"/>
        <v>0</v>
      </c>
      <c r="BT48" s="1">
        <f t="shared" si="188"/>
        <v>0.7978723404255319</v>
      </c>
      <c r="BU48" s="1">
        <f t="shared" si="189"/>
        <v>0</v>
      </c>
      <c r="BV48" s="1">
        <f t="shared" si="190"/>
        <v>0</v>
      </c>
      <c r="BW48" s="1">
        <f t="shared" si="191"/>
        <v>0</v>
      </c>
      <c r="BX48" s="1">
        <f t="shared" si="192"/>
        <v>0</v>
      </c>
      <c r="BY48" s="1">
        <f t="shared" si="193"/>
        <v>0</v>
      </c>
      <c r="BZ48" s="1">
        <f t="shared" si="194"/>
        <v>1.3297872340425532</v>
      </c>
      <c r="CA48" s="1">
        <f t="shared" si="195"/>
        <v>0</v>
      </c>
      <c r="CB48" s="1">
        <f t="shared" si="196"/>
        <v>0</v>
      </c>
      <c r="CC48" s="1">
        <f t="shared" si="197"/>
        <v>0</v>
      </c>
      <c r="CD48" s="1">
        <f t="shared" si="198"/>
        <v>0</v>
      </c>
      <c r="CE48" s="1">
        <f t="shared" si="199"/>
        <v>0</v>
      </c>
      <c r="CF48" s="1">
        <f t="shared" si="200"/>
        <v>0</v>
      </c>
      <c r="CG48" s="23">
        <f t="shared" si="201"/>
        <v>3.1914893617021276</v>
      </c>
      <c r="CH48" s="1">
        <f t="shared" si="439"/>
        <v>3.1914893617021276</v>
      </c>
      <c r="CI48" s="1">
        <f t="shared" si="440"/>
        <v>3.1914893617021276</v>
      </c>
      <c r="CJ48" s="1">
        <f t="shared" si="203"/>
        <v>0.63829787234042556</v>
      </c>
      <c r="CK48" s="1">
        <f t="shared" si="203"/>
        <v>1.5957446808510638</v>
      </c>
      <c r="CL48" s="1">
        <f t="shared" si="204"/>
        <v>0.63829787234042556</v>
      </c>
      <c r="CM48" s="1">
        <f t="shared" si="205"/>
        <v>0</v>
      </c>
      <c r="CN48" s="1">
        <f t="shared" si="206"/>
        <v>0</v>
      </c>
      <c r="CO48" s="1">
        <f t="shared" si="207"/>
        <v>0</v>
      </c>
      <c r="CP48" s="1">
        <f t="shared" si="208"/>
        <v>0</v>
      </c>
      <c r="CQ48" s="1">
        <f t="shared" si="209"/>
        <v>0</v>
      </c>
      <c r="CR48" s="1">
        <f t="shared" si="210"/>
        <v>0.95744680851063824</v>
      </c>
      <c r="CS48" s="1">
        <f t="shared" si="211"/>
        <v>0</v>
      </c>
      <c r="CT48" s="1">
        <f t="shared" si="212"/>
        <v>0</v>
      </c>
      <c r="CU48" s="1">
        <f t="shared" si="213"/>
        <v>0</v>
      </c>
      <c r="CV48" s="1">
        <f t="shared" si="214"/>
        <v>0</v>
      </c>
      <c r="CW48" s="1">
        <f t="shared" si="215"/>
        <v>0</v>
      </c>
      <c r="CX48" s="1">
        <f t="shared" si="216"/>
        <v>1.5957446808510638</v>
      </c>
      <c r="CY48" s="1">
        <f t="shared" si="217"/>
        <v>0</v>
      </c>
      <c r="CZ48" s="1">
        <f t="shared" si="218"/>
        <v>0</v>
      </c>
      <c r="DA48" s="1">
        <f t="shared" si="219"/>
        <v>0</v>
      </c>
      <c r="DB48" s="1">
        <f t="shared" si="220"/>
        <v>0</v>
      </c>
      <c r="DC48" s="1">
        <f t="shared" si="221"/>
        <v>0</v>
      </c>
      <c r="DD48" s="24">
        <f t="shared" si="222"/>
        <v>0</v>
      </c>
      <c r="DE48" s="1">
        <f t="shared" si="223"/>
        <v>0.21276595744680851</v>
      </c>
      <c r="DF48" s="1">
        <f t="shared" si="441"/>
        <v>0.21276595744680851</v>
      </c>
      <c r="DG48" s="1">
        <f t="shared" si="442"/>
        <v>0.21276595744680851</v>
      </c>
      <c r="DH48" s="1">
        <f t="shared" si="225"/>
        <v>4.2553191489361701E-2</v>
      </c>
      <c r="DI48" s="1">
        <f t="shared" si="225"/>
        <v>0.10638297872340426</v>
      </c>
      <c r="DJ48" s="1">
        <f t="shared" si="226"/>
        <v>4.2553191489361701E-2</v>
      </c>
      <c r="DK48" s="1">
        <f t="shared" si="227"/>
        <v>0</v>
      </c>
      <c r="DL48" s="1">
        <f t="shared" si="228"/>
        <v>0</v>
      </c>
      <c r="DM48" s="1">
        <f t="shared" si="229"/>
        <v>0</v>
      </c>
      <c r="DN48" s="1">
        <f t="shared" si="230"/>
        <v>0</v>
      </c>
      <c r="DO48" s="1">
        <f t="shared" si="231"/>
        <v>0</v>
      </c>
      <c r="DP48" s="1">
        <f t="shared" si="232"/>
        <v>6.3829787234042548E-2</v>
      </c>
      <c r="DQ48" s="1">
        <f t="shared" si="233"/>
        <v>0</v>
      </c>
      <c r="DR48" s="1">
        <f t="shared" si="234"/>
        <v>0</v>
      </c>
      <c r="DS48" s="1">
        <f t="shared" si="235"/>
        <v>0</v>
      </c>
      <c r="DT48" s="1">
        <f t="shared" si="236"/>
        <v>0</v>
      </c>
      <c r="DU48" s="1">
        <f t="shared" si="237"/>
        <v>0</v>
      </c>
      <c r="DV48" s="1">
        <f t="shared" si="238"/>
        <v>0.10638297872340426</v>
      </c>
      <c r="DW48" s="1">
        <f t="shared" si="239"/>
        <v>0</v>
      </c>
      <c r="DX48" s="1">
        <f t="shared" si="240"/>
        <v>0</v>
      </c>
      <c r="DY48" s="1">
        <f t="shared" si="241"/>
        <v>0</v>
      </c>
      <c r="DZ48" s="1">
        <f t="shared" si="242"/>
        <v>0</v>
      </c>
      <c r="EA48" s="1">
        <f t="shared" si="243"/>
        <v>0</v>
      </c>
      <c r="EB48" s="24">
        <f t="shared" si="244"/>
        <v>0</v>
      </c>
    </row>
    <row r="49" spans="1:132" ht="13.8" thickBot="1" x14ac:dyDescent="0.3">
      <c r="B49" s="669" t="str">
        <f>'Gårdens info'!C104</f>
        <v>bevattningsmaskin för potatis</v>
      </c>
      <c r="C49" s="33"/>
      <c r="D49" s="14"/>
      <c r="E49" s="670">
        <v>2020</v>
      </c>
      <c r="F49" s="14"/>
      <c r="G49" s="14"/>
      <c r="H49" s="417">
        <v>15</v>
      </c>
      <c r="I49">
        <f>'Gårdens info'!D102</f>
        <v>2500</v>
      </c>
      <c r="J49" s="417">
        <f t="shared" si="155"/>
        <v>0</v>
      </c>
      <c r="K49" s="418">
        <v>0.03</v>
      </c>
      <c r="L49"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49"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49"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49"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49"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49"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49"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49"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49"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49"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49"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49"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49"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49"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49"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49"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49"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49"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49"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49"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49"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49"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49"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49"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49" s="411">
        <f t="shared" si="156"/>
        <v>1</v>
      </c>
      <c r="AK49" s="1">
        <f t="shared" si="157"/>
        <v>35.460992907801419</v>
      </c>
      <c r="AL49" s="1">
        <f t="shared" si="435"/>
        <v>35.460992907801419</v>
      </c>
      <c r="AM49" s="1">
        <f t="shared" si="436"/>
        <v>35.460992907801419</v>
      </c>
      <c r="AN49" s="1">
        <f t="shared" si="159"/>
        <v>7.0921985815602833</v>
      </c>
      <c r="AO49" s="1">
        <f t="shared" si="159"/>
        <v>17.730496453900709</v>
      </c>
      <c r="AP49" s="1">
        <f t="shared" si="160"/>
        <v>7.0921985815602833</v>
      </c>
      <c r="AQ49" s="1">
        <f t="shared" si="161"/>
        <v>0</v>
      </c>
      <c r="AR49" s="1">
        <f t="shared" si="162"/>
        <v>0</v>
      </c>
      <c r="AS49" s="1">
        <f t="shared" si="163"/>
        <v>0</v>
      </c>
      <c r="AT49" s="1">
        <f t="shared" si="164"/>
        <v>0</v>
      </c>
      <c r="AU49" s="1">
        <f t="shared" si="165"/>
        <v>0</v>
      </c>
      <c r="AV49" s="1">
        <f t="shared" si="166"/>
        <v>10.638297872340424</v>
      </c>
      <c r="AW49" s="1">
        <f t="shared" si="167"/>
        <v>0</v>
      </c>
      <c r="AX49" s="1">
        <f t="shared" si="168"/>
        <v>0</v>
      </c>
      <c r="AY49" s="1">
        <f t="shared" si="169"/>
        <v>0</v>
      </c>
      <c r="AZ49" s="1">
        <f t="shared" si="170"/>
        <v>0</v>
      </c>
      <c r="BA49" s="1">
        <f t="shared" si="171"/>
        <v>0</v>
      </c>
      <c r="BB49" s="1">
        <f t="shared" si="172"/>
        <v>17.730496453900709</v>
      </c>
      <c r="BC49" s="1">
        <f t="shared" si="173"/>
        <v>0</v>
      </c>
      <c r="BD49" s="1">
        <f t="shared" si="174"/>
        <v>0</v>
      </c>
      <c r="BE49" s="1">
        <f t="shared" si="175"/>
        <v>0</v>
      </c>
      <c r="BF49" s="1">
        <f t="shared" si="176"/>
        <v>0</v>
      </c>
      <c r="BG49" s="1">
        <f t="shared" si="177"/>
        <v>0</v>
      </c>
      <c r="BH49" s="1">
        <f t="shared" si="178"/>
        <v>0</v>
      </c>
      <c r="BI49" s="23">
        <f t="shared" si="179"/>
        <v>13.297872340425531</v>
      </c>
      <c r="BJ49" s="1">
        <f t="shared" si="437"/>
        <v>13.297872340425531</v>
      </c>
      <c r="BK49" s="1">
        <f t="shared" si="438"/>
        <v>13.297872340425531</v>
      </c>
      <c r="BL49" s="1">
        <f t="shared" si="181"/>
        <v>2.6595744680851063</v>
      </c>
      <c r="BM49" s="1">
        <f t="shared" si="181"/>
        <v>6.6489361702127656</v>
      </c>
      <c r="BN49" s="1">
        <f t="shared" si="182"/>
        <v>2.6595744680851063</v>
      </c>
      <c r="BO49" s="1">
        <f t="shared" si="183"/>
        <v>0</v>
      </c>
      <c r="BP49" s="1">
        <f t="shared" si="184"/>
        <v>0</v>
      </c>
      <c r="BQ49" s="1">
        <f t="shared" si="185"/>
        <v>0</v>
      </c>
      <c r="BR49" s="1">
        <f t="shared" si="186"/>
        <v>0</v>
      </c>
      <c r="BS49" s="1">
        <f t="shared" si="187"/>
        <v>0</v>
      </c>
      <c r="BT49" s="1">
        <f t="shared" si="188"/>
        <v>3.9893617021276593</v>
      </c>
      <c r="BU49" s="1">
        <f t="shared" si="189"/>
        <v>0</v>
      </c>
      <c r="BV49" s="1">
        <f t="shared" si="190"/>
        <v>0</v>
      </c>
      <c r="BW49" s="1">
        <f t="shared" si="191"/>
        <v>0</v>
      </c>
      <c r="BX49" s="1">
        <f t="shared" si="192"/>
        <v>0</v>
      </c>
      <c r="BY49" s="1">
        <f t="shared" si="193"/>
        <v>0</v>
      </c>
      <c r="BZ49" s="1">
        <f t="shared" si="194"/>
        <v>6.6489361702127656</v>
      </c>
      <c r="CA49" s="1">
        <f t="shared" si="195"/>
        <v>0</v>
      </c>
      <c r="CB49" s="1">
        <f t="shared" si="196"/>
        <v>0</v>
      </c>
      <c r="CC49" s="1">
        <f t="shared" si="197"/>
        <v>0</v>
      </c>
      <c r="CD49" s="1">
        <f t="shared" si="198"/>
        <v>0</v>
      </c>
      <c r="CE49" s="1">
        <f t="shared" si="199"/>
        <v>0</v>
      </c>
      <c r="CF49" s="1">
        <f t="shared" si="200"/>
        <v>0</v>
      </c>
      <c r="CG49" s="23">
        <f t="shared" si="201"/>
        <v>15.957446808510639</v>
      </c>
      <c r="CH49" s="1">
        <f t="shared" si="439"/>
        <v>15.957446808510639</v>
      </c>
      <c r="CI49" s="1">
        <f t="shared" si="440"/>
        <v>15.957446808510639</v>
      </c>
      <c r="CJ49" s="1">
        <f t="shared" si="203"/>
        <v>3.1914893617021276</v>
      </c>
      <c r="CK49" s="1">
        <f t="shared" si="203"/>
        <v>7.9787234042553195</v>
      </c>
      <c r="CL49" s="1">
        <f t="shared" si="204"/>
        <v>3.1914893617021276</v>
      </c>
      <c r="CM49" s="1">
        <f t="shared" si="205"/>
        <v>0</v>
      </c>
      <c r="CN49" s="1">
        <f t="shared" si="206"/>
        <v>0</v>
      </c>
      <c r="CO49" s="1">
        <f t="shared" si="207"/>
        <v>0</v>
      </c>
      <c r="CP49" s="1">
        <f t="shared" si="208"/>
        <v>0</v>
      </c>
      <c r="CQ49" s="1">
        <f t="shared" si="209"/>
        <v>0</v>
      </c>
      <c r="CR49" s="1">
        <f t="shared" si="210"/>
        <v>4.787234042553191</v>
      </c>
      <c r="CS49" s="1">
        <f t="shared" si="211"/>
        <v>0</v>
      </c>
      <c r="CT49" s="1">
        <f t="shared" si="212"/>
        <v>0</v>
      </c>
      <c r="CU49" s="1">
        <f t="shared" si="213"/>
        <v>0</v>
      </c>
      <c r="CV49" s="1">
        <f t="shared" si="214"/>
        <v>0</v>
      </c>
      <c r="CW49" s="1">
        <f t="shared" si="215"/>
        <v>0</v>
      </c>
      <c r="CX49" s="1">
        <f t="shared" si="216"/>
        <v>7.9787234042553195</v>
      </c>
      <c r="CY49" s="1">
        <f t="shared" si="217"/>
        <v>0</v>
      </c>
      <c r="CZ49" s="1">
        <f t="shared" si="218"/>
        <v>0</v>
      </c>
      <c r="DA49" s="1">
        <f t="shared" si="219"/>
        <v>0</v>
      </c>
      <c r="DB49" s="1">
        <f t="shared" si="220"/>
        <v>0</v>
      </c>
      <c r="DC49" s="1">
        <f t="shared" si="221"/>
        <v>0</v>
      </c>
      <c r="DD49" s="24">
        <f t="shared" si="222"/>
        <v>0</v>
      </c>
      <c r="DE49" s="1">
        <f t="shared" si="223"/>
        <v>1.0638297872340425</v>
      </c>
      <c r="DF49" s="1">
        <f t="shared" si="441"/>
        <v>1.0638297872340425</v>
      </c>
      <c r="DG49" s="1">
        <f t="shared" si="442"/>
        <v>1.0638297872340425</v>
      </c>
      <c r="DH49" s="1">
        <f t="shared" si="225"/>
        <v>0.21276595744680851</v>
      </c>
      <c r="DI49" s="1">
        <f t="shared" si="225"/>
        <v>0.53191489361702127</v>
      </c>
      <c r="DJ49" s="1">
        <f t="shared" si="226"/>
        <v>0.21276595744680851</v>
      </c>
      <c r="DK49" s="1">
        <f t="shared" si="227"/>
        <v>0</v>
      </c>
      <c r="DL49" s="1">
        <f t="shared" si="228"/>
        <v>0</v>
      </c>
      <c r="DM49" s="1">
        <f t="shared" si="229"/>
        <v>0</v>
      </c>
      <c r="DN49" s="1">
        <f t="shared" si="230"/>
        <v>0</v>
      </c>
      <c r="DO49" s="1">
        <f t="shared" si="231"/>
        <v>0</v>
      </c>
      <c r="DP49" s="1">
        <f t="shared" si="232"/>
        <v>0.31914893617021273</v>
      </c>
      <c r="DQ49" s="1">
        <f t="shared" si="233"/>
        <v>0</v>
      </c>
      <c r="DR49" s="1">
        <f t="shared" si="234"/>
        <v>0</v>
      </c>
      <c r="DS49" s="1">
        <f t="shared" si="235"/>
        <v>0</v>
      </c>
      <c r="DT49" s="1">
        <f t="shared" si="236"/>
        <v>0</v>
      </c>
      <c r="DU49" s="1">
        <f t="shared" si="237"/>
        <v>0</v>
      </c>
      <c r="DV49" s="1">
        <f t="shared" si="238"/>
        <v>0.53191489361702127</v>
      </c>
      <c r="DW49" s="1">
        <f t="shared" si="239"/>
        <v>0</v>
      </c>
      <c r="DX49" s="1">
        <f t="shared" si="240"/>
        <v>0</v>
      </c>
      <c r="DY49" s="1">
        <f t="shared" si="241"/>
        <v>0</v>
      </c>
      <c r="DZ49" s="1">
        <f t="shared" si="242"/>
        <v>0</v>
      </c>
      <c r="EA49" s="1">
        <f t="shared" si="243"/>
        <v>0</v>
      </c>
      <c r="EB49" s="24">
        <f t="shared" si="244"/>
        <v>0</v>
      </c>
    </row>
    <row r="50" spans="1:132" ht="13.8" thickBot="1" x14ac:dyDescent="0.3">
      <c r="B50" s="594" t="str">
        <f>'Gårdens info'!C105</f>
        <v>tvätt- och förpackningslinje för morötter</v>
      </c>
      <c r="C50" s="33"/>
      <c r="D50" s="14"/>
      <c r="E50" s="596">
        <f>'Gårdens info'!J103</f>
        <v>2024</v>
      </c>
      <c r="F50" s="14"/>
      <c r="G50" s="14"/>
      <c r="H50" s="417">
        <v>15</v>
      </c>
      <c r="I50">
        <f>'Gårdens info'!D103</f>
        <v>7000</v>
      </c>
      <c r="J50" s="417">
        <f t="shared" si="155"/>
        <v>0</v>
      </c>
      <c r="K50" s="418">
        <v>0.03</v>
      </c>
      <c r="L50"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50"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50"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50"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50"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50"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50"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50"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50"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50"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50"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50"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50"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50"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50"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50"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50"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50"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50"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50"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50"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50"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50"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50"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50" s="411">
        <f t="shared" si="156"/>
        <v>1</v>
      </c>
      <c r="AK50" s="1">
        <f t="shared" si="157"/>
        <v>99.290780141843982</v>
      </c>
      <c r="AL50" s="1">
        <f t="shared" si="435"/>
        <v>99.290780141843982</v>
      </c>
      <c r="AM50" s="1">
        <f t="shared" si="436"/>
        <v>99.290780141843982</v>
      </c>
      <c r="AN50" s="1">
        <f t="shared" si="159"/>
        <v>19.858156028368796</v>
      </c>
      <c r="AO50" s="1">
        <f t="shared" si="159"/>
        <v>49.645390070921991</v>
      </c>
      <c r="AP50" s="1">
        <f t="shared" si="160"/>
        <v>19.858156028368796</v>
      </c>
      <c r="AQ50" s="1">
        <f t="shared" si="161"/>
        <v>0</v>
      </c>
      <c r="AR50" s="1">
        <f t="shared" si="162"/>
        <v>0</v>
      </c>
      <c r="AS50" s="1">
        <f t="shared" si="163"/>
        <v>0</v>
      </c>
      <c r="AT50" s="1">
        <f t="shared" si="164"/>
        <v>0</v>
      </c>
      <c r="AU50" s="1">
        <f t="shared" si="165"/>
        <v>0</v>
      </c>
      <c r="AV50" s="1">
        <f t="shared" si="166"/>
        <v>29.787234042553191</v>
      </c>
      <c r="AW50" s="1">
        <f t="shared" si="167"/>
        <v>0</v>
      </c>
      <c r="AX50" s="1">
        <f t="shared" si="168"/>
        <v>0</v>
      </c>
      <c r="AY50" s="1">
        <f t="shared" si="169"/>
        <v>0</v>
      </c>
      <c r="AZ50" s="1">
        <f t="shared" si="170"/>
        <v>0</v>
      </c>
      <c r="BA50" s="1">
        <f t="shared" si="171"/>
        <v>0</v>
      </c>
      <c r="BB50" s="1">
        <f t="shared" si="172"/>
        <v>49.645390070921991</v>
      </c>
      <c r="BC50" s="1">
        <f t="shared" si="173"/>
        <v>0</v>
      </c>
      <c r="BD50" s="1">
        <f t="shared" si="174"/>
        <v>0</v>
      </c>
      <c r="BE50" s="1">
        <f t="shared" si="175"/>
        <v>0</v>
      </c>
      <c r="BF50" s="1">
        <f t="shared" si="176"/>
        <v>0</v>
      </c>
      <c r="BG50" s="1">
        <f t="shared" si="177"/>
        <v>0</v>
      </c>
      <c r="BH50" s="1">
        <f t="shared" si="178"/>
        <v>0</v>
      </c>
      <c r="BI50" s="23">
        <f t="shared" si="179"/>
        <v>37.234042553191493</v>
      </c>
      <c r="BJ50" s="1">
        <f t="shared" si="437"/>
        <v>37.234042553191493</v>
      </c>
      <c r="BK50" s="1">
        <f t="shared" si="438"/>
        <v>37.234042553191493</v>
      </c>
      <c r="BL50" s="1">
        <f t="shared" si="181"/>
        <v>7.4468085106382977</v>
      </c>
      <c r="BM50" s="1">
        <f t="shared" si="181"/>
        <v>18.617021276595747</v>
      </c>
      <c r="BN50" s="1">
        <f t="shared" si="182"/>
        <v>7.4468085106382977</v>
      </c>
      <c r="BO50" s="1">
        <f t="shared" si="183"/>
        <v>0</v>
      </c>
      <c r="BP50" s="1">
        <f t="shared" si="184"/>
        <v>0</v>
      </c>
      <c r="BQ50" s="1">
        <f t="shared" si="185"/>
        <v>0</v>
      </c>
      <c r="BR50" s="1">
        <f t="shared" si="186"/>
        <v>0</v>
      </c>
      <c r="BS50" s="1">
        <f t="shared" si="187"/>
        <v>0</v>
      </c>
      <c r="BT50" s="1">
        <f t="shared" si="188"/>
        <v>11.170212765957446</v>
      </c>
      <c r="BU50" s="1">
        <f t="shared" si="189"/>
        <v>0</v>
      </c>
      <c r="BV50" s="1">
        <f t="shared" si="190"/>
        <v>0</v>
      </c>
      <c r="BW50" s="1">
        <f t="shared" si="191"/>
        <v>0</v>
      </c>
      <c r="BX50" s="1">
        <f t="shared" si="192"/>
        <v>0</v>
      </c>
      <c r="BY50" s="1">
        <f t="shared" si="193"/>
        <v>0</v>
      </c>
      <c r="BZ50" s="1">
        <f t="shared" si="194"/>
        <v>18.617021276595747</v>
      </c>
      <c r="CA50" s="1">
        <f t="shared" si="195"/>
        <v>0</v>
      </c>
      <c r="CB50" s="1">
        <f t="shared" si="196"/>
        <v>0</v>
      </c>
      <c r="CC50" s="1">
        <f t="shared" si="197"/>
        <v>0</v>
      </c>
      <c r="CD50" s="1">
        <f t="shared" si="198"/>
        <v>0</v>
      </c>
      <c r="CE50" s="1">
        <f t="shared" si="199"/>
        <v>0</v>
      </c>
      <c r="CF50" s="1">
        <f t="shared" si="200"/>
        <v>0</v>
      </c>
      <c r="CG50" s="23">
        <f t="shared" si="201"/>
        <v>44.680851063829785</v>
      </c>
      <c r="CH50" s="1">
        <f t="shared" si="439"/>
        <v>44.680851063829785</v>
      </c>
      <c r="CI50" s="1">
        <f t="shared" si="440"/>
        <v>44.680851063829785</v>
      </c>
      <c r="CJ50" s="1">
        <f t="shared" si="203"/>
        <v>8.9361702127659566</v>
      </c>
      <c r="CK50" s="1">
        <f t="shared" si="203"/>
        <v>22.340425531914892</v>
      </c>
      <c r="CL50" s="1">
        <f t="shared" si="204"/>
        <v>8.9361702127659566</v>
      </c>
      <c r="CM50" s="1">
        <f t="shared" si="205"/>
        <v>0</v>
      </c>
      <c r="CN50" s="1">
        <f t="shared" si="206"/>
        <v>0</v>
      </c>
      <c r="CO50" s="1">
        <f t="shared" si="207"/>
        <v>0</v>
      </c>
      <c r="CP50" s="1">
        <f t="shared" si="208"/>
        <v>0</v>
      </c>
      <c r="CQ50" s="1">
        <f t="shared" si="209"/>
        <v>0</v>
      </c>
      <c r="CR50" s="1">
        <f t="shared" si="210"/>
        <v>13.404255319148936</v>
      </c>
      <c r="CS50" s="1">
        <f t="shared" si="211"/>
        <v>0</v>
      </c>
      <c r="CT50" s="1">
        <f t="shared" si="212"/>
        <v>0</v>
      </c>
      <c r="CU50" s="1">
        <f t="shared" si="213"/>
        <v>0</v>
      </c>
      <c r="CV50" s="1">
        <f t="shared" si="214"/>
        <v>0</v>
      </c>
      <c r="CW50" s="1">
        <f t="shared" si="215"/>
        <v>0</v>
      </c>
      <c r="CX50" s="1">
        <f t="shared" si="216"/>
        <v>22.340425531914892</v>
      </c>
      <c r="CY50" s="1">
        <f t="shared" si="217"/>
        <v>0</v>
      </c>
      <c r="CZ50" s="1">
        <f t="shared" si="218"/>
        <v>0</v>
      </c>
      <c r="DA50" s="1">
        <f t="shared" si="219"/>
        <v>0</v>
      </c>
      <c r="DB50" s="1">
        <f t="shared" si="220"/>
        <v>0</v>
      </c>
      <c r="DC50" s="1">
        <f t="shared" si="221"/>
        <v>0</v>
      </c>
      <c r="DD50" s="24">
        <f t="shared" si="222"/>
        <v>0</v>
      </c>
      <c r="DE50" s="1">
        <f t="shared" si="223"/>
        <v>2.978723404255319</v>
      </c>
      <c r="DF50" s="1">
        <f t="shared" si="441"/>
        <v>2.978723404255319</v>
      </c>
      <c r="DG50" s="1">
        <f t="shared" si="442"/>
        <v>2.978723404255319</v>
      </c>
      <c r="DH50" s="1">
        <f t="shared" si="225"/>
        <v>0.5957446808510638</v>
      </c>
      <c r="DI50" s="1">
        <f t="shared" si="225"/>
        <v>1.4893617021276595</v>
      </c>
      <c r="DJ50" s="1">
        <f t="shared" si="226"/>
        <v>0.5957446808510638</v>
      </c>
      <c r="DK50" s="1">
        <f t="shared" si="227"/>
        <v>0</v>
      </c>
      <c r="DL50" s="1">
        <f t="shared" si="228"/>
        <v>0</v>
      </c>
      <c r="DM50" s="1">
        <f t="shared" si="229"/>
        <v>0</v>
      </c>
      <c r="DN50" s="1">
        <f t="shared" si="230"/>
        <v>0</v>
      </c>
      <c r="DO50" s="1">
        <f t="shared" si="231"/>
        <v>0</v>
      </c>
      <c r="DP50" s="1">
        <f t="shared" si="232"/>
        <v>0.8936170212765957</v>
      </c>
      <c r="DQ50" s="1">
        <f t="shared" si="233"/>
        <v>0</v>
      </c>
      <c r="DR50" s="1">
        <f t="shared" si="234"/>
        <v>0</v>
      </c>
      <c r="DS50" s="1">
        <f t="shared" si="235"/>
        <v>0</v>
      </c>
      <c r="DT50" s="1">
        <f t="shared" si="236"/>
        <v>0</v>
      </c>
      <c r="DU50" s="1">
        <f t="shared" si="237"/>
        <v>0</v>
      </c>
      <c r="DV50" s="1">
        <f t="shared" si="238"/>
        <v>1.4893617021276595</v>
      </c>
      <c r="DW50" s="1">
        <f t="shared" si="239"/>
        <v>0</v>
      </c>
      <c r="DX50" s="1">
        <f t="shared" si="240"/>
        <v>0</v>
      </c>
      <c r="DY50" s="1">
        <f t="shared" si="241"/>
        <v>0</v>
      </c>
      <c r="DZ50" s="1">
        <f t="shared" si="242"/>
        <v>0</v>
      </c>
      <c r="EA50" s="1">
        <f t="shared" si="243"/>
        <v>0</v>
      </c>
      <c r="EB50" s="24">
        <f t="shared" si="244"/>
        <v>0</v>
      </c>
    </row>
    <row r="51" spans="1:132" s="669" customFormat="1" ht="13.8" thickBot="1" x14ac:dyDescent="0.3">
      <c r="B51" s="669" t="str">
        <f>'Gårdens info'!C106</f>
        <v>planteringsmaskin fö potatis</v>
      </c>
      <c r="C51" s="670"/>
      <c r="E51" s="670">
        <f>'Gårdens info'!J104</f>
        <v>2010</v>
      </c>
      <c r="H51" s="671">
        <v>15</v>
      </c>
      <c r="I51" s="669">
        <f>'Gårdens info'!D104</f>
        <v>31000</v>
      </c>
      <c r="J51" s="671">
        <v>0</v>
      </c>
      <c r="K51" s="672">
        <v>0.03</v>
      </c>
      <c r="L51" s="673">
        <v>0</v>
      </c>
      <c r="M51" s="742">
        <f>IF('Gårdens info'!$D$9&gt;0,('Gårdens info'!$D$9/('Gårdens info'!$D$9)),0)</f>
        <v>1</v>
      </c>
      <c r="N51" s="673">
        <v>0</v>
      </c>
      <c r="O51" s="673">
        <v>0</v>
      </c>
      <c r="P51" s="673">
        <v>0</v>
      </c>
      <c r="Q51" s="673">
        <v>0</v>
      </c>
      <c r="R51" s="673">
        <v>0</v>
      </c>
      <c r="S51" s="673">
        <v>0</v>
      </c>
      <c r="T51" s="673">
        <v>0</v>
      </c>
      <c r="U51" s="673">
        <v>0</v>
      </c>
      <c r="V51" s="673">
        <v>0</v>
      </c>
      <c r="W51" s="673">
        <v>0</v>
      </c>
      <c r="X51" s="673">
        <v>0</v>
      </c>
      <c r="Y51" s="673">
        <v>0</v>
      </c>
      <c r="Z51" s="673">
        <v>0</v>
      </c>
      <c r="AA51" s="673">
        <v>0</v>
      </c>
      <c r="AB51" s="673">
        <v>0</v>
      </c>
      <c r="AC51" s="673">
        <v>0</v>
      </c>
      <c r="AD51" s="673">
        <v>0</v>
      </c>
      <c r="AE51" s="673">
        <v>0</v>
      </c>
      <c r="AF51" s="673">
        <v>0</v>
      </c>
      <c r="AG51" s="673">
        <v>0</v>
      </c>
      <c r="AH51" s="673">
        <v>0</v>
      </c>
      <c r="AI51" s="673">
        <v>0</v>
      </c>
      <c r="AJ51" s="676">
        <f t="shared" si="156"/>
        <v>1</v>
      </c>
      <c r="AK51" s="670">
        <f t="shared" si="157"/>
        <v>0</v>
      </c>
      <c r="AL51" s="670">
        <f t="shared" ref="AL51:AL60" si="443">IF((($C$7-$E51)&lt;=$H51),(($I51-$J51)/$H51*M51),0)</f>
        <v>2066.6666666666665</v>
      </c>
      <c r="AM51" s="670"/>
      <c r="AN51" s="670">
        <f t="shared" ref="AN51:AO51" si="444">IF((($C$7-$E51)&lt;=$H51),(($I51-$J51)/$H51*O51),0)</f>
        <v>0</v>
      </c>
      <c r="AO51" s="670">
        <f t="shared" si="444"/>
        <v>0</v>
      </c>
      <c r="AP51" s="670">
        <f t="shared" ref="AP51" si="445">IF((($C$7-$E51)&lt;=$H51),(($I51-$J51)/$H51*Q51),0)</f>
        <v>0</v>
      </c>
      <c r="AQ51" s="670">
        <f t="shared" ref="AQ51" si="446">IF((($C$7-$E51)&lt;=$H51),(($I51-$J51)/$H51*R51),0)</f>
        <v>0</v>
      </c>
      <c r="AR51" s="670">
        <f t="shared" ref="AR51" si="447">IF((($C$7-$E51)&lt;=$H51),(($I51-$J51)/$H51*S51),0)</f>
        <v>0</v>
      </c>
      <c r="AS51" s="670">
        <f t="shared" ref="AS51" si="448">IF((($C$7-$E51)&lt;=$H51),(($I51-$J51)/$H51*T51),0)</f>
        <v>0</v>
      </c>
      <c r="AT51" s="670">
        <f t="shared" ref="AT51" si="449">IF((($C$7-$E51)&lt;=$H51),(($I51-$J51)/$H51*U51),0)</f>
        <v>0</v>
      </c>
      <c r="AU51" s="670">
        <f t="shared" ref="AU51" si="450">IF((($C$7-$E51)&lt;=$H51),(($I51-$J51)/$H51*V51),0)</f>
        <v>0</v>
      </c>
      <c r="AV51" s="670">
        <f t="shared" ref="AV51" si="451">IF((($C$7-$E51)&lt;=$H51),(($I51-$J51)/$H51*W51),0)</f>
        <v>0</v>
      </c>
      <c r="AW51" s="670">
        <f t="shared" ref="AW51" si="452">IF((($C$7-$E51)&lt;=$H51),(($I51-$J51)/$H51*X51),0)</f>
        <v>0</v>
      </c>
      <c r="AX51" s="670">
        <f t="shared" ref="AX51" si="453">IF((($C$7-$E51)&lt;=$H51),(($I51-$J51)/$H51*Y51),0)</f>
        <v>0</v>
      </c>
      <c r="AY51" s="670">
        <f t="shared" ref="AY51" si="454">IF((($C$7-$E51)&lt;=$H51),(($I51-$J51)/$H51*Z51),0)</f>
        <v>0</v>
      </c>
      <c r="AZ51" s="670">
        <f t="shared" ref="AZ51" si="455">IF((($C$7-$E51)&lt;=$H51),(($I51-$J51)/$H51*AA51),0)</f>
        <v>0</v>
      </c>
      <c r="BA51" s="670">
        <f t="shared" ref="BA51" si="456">IF((($C$7-$E51)&lt;=$H51),(($I51-$J51)/$H51*AB51),0)</f>
        <v>0</v>
      </c>
      <c r="BB51" s="670">
        <f t="shared" ref="BB51" si="457">IF((($C$7-$E51)&lt;=$H51),(($I51-$J51)/$H51*AC51),0)</f>
        <v>0</v>
      </c>
      <c r="BC51" s="670">
        <f t="shared" ref="BC51" si="458">IF((($C$7-$E51)&lt;=$H51),(($I51-$J51)/$H51*AD51),0)</f>
        <v>0</v>
      </c>
      <c r="BD51" s="670">
        <f t="shared" ref="BD51" si="459">IF((($C$7-$E51)&lt;=$H51),(($I51-$J51)/$H51*AE51),0)</f>
        <v>0</v>
      </c>
      <c r="BE51" s="670">
        <f t="shared" ref="BE51" si="460">IF((($C$7-$E51)&lt;=$H51),(($I51-$J51)/$H51*AF51),0)</f>
        <v>0</v>
      </c>
      <c r="BF51" s="670">
        <f t="shared" ref="BF51" si="461">IF((($C$7-$E51)&lt;=$H51),(($I51-$J51)/$H51*AG51),0)</f>
        <v>0</v>
      </c>
      <c r="BG51" s="670">
        <f t="shared" ref="BG51" si="462">IF((($C$7-$E51)&lt;=$H51),(($I51-$J51)/$H51*AH51),0)</f>
        <v>0</v>
      </c>
      <c r="BH51" s="670">
        <f t="shared" ref="BH51" si="463">IF((($C$7-$E51)&lt;=$H51),(($I51-$J51)/$H51*AI51),0)</f>
        <v>0</v>
      </c>
      <c r="BI51" s="675">
        <f t="shared" si="179"/>
        <v>0</v>
      </c>
      <c r="BJ51" s="670">
        <f t="shared" si="437"/>
        <v>775</v>
      </c>
      <c r="BK51" s="670">
        <f t="shared" si="438"/>
        <v>0</v>
      </c>
      <c r="BL51" s="670">
        <f t="shared" si="181"/>
        <v>0</v>
      </c>
      <c r="BM51" s="670">
        <f t="shared" si="181"/>
        <v>0</v>
      </c>
      <c r="BN51" s="670">
        <f t="shared" si="182"/>
        <v>0</v>
      </c>
      <c r="BO51" s="670">
        <f t="shared" si="183"/>
        <v>0</v>
      </c>
      <c r="BP51" s="670">
        <f t="shared" si="184"/>
        <v>0</v>
      </c>
      <c r="BQ51" s="670">
        <f t="shared" si="185"/>
        <v>0</v>
      </c>
      <c r="BR51" s="670">
        <f t="shared" si="186"/>
        <v>0</v>
      </c>
      <c r="BS51" s="670">
        <f t="shared" si="187"/>
        <v>0</v>
      </c>
      <c r="BT51" s="670">
        <f t="shared" si="188"/>
        <v>0</v>
      </c>
      <c r="BU51" s="670">
        <f t="shared" si="189"/>
        <v>0</v>
      </c>
      <c r="BV51" s="670">
        <f t="shared" si="190"/>
        <v>0</v>
      </c>
      <c r="BW51" s="670">
        <f t="shared" si="191"/>
        <v>0</v>
      </c>
      <c r="BX51" s="670">
        <f t="shared" si="192"/>
        <v>0</v>
      </c>
      <c r="BY51" s="670">
        <f t="shared" si="193"/>
        <v>0</v>
      </c>
      <c r="BZ51" s="670">
        <f t="shared" si="194"/>
        <v>0</v>
      </c>
      <c r="CA51" s="670">
        <f t="shared" si="195"/>
        <v>0</v>
      </c>
      <c r="CB51" s="670">
        <f t="shared" si="196"/>
        <v>0</v>
      </c>
      <c r="CC51" s="670">
        <f t="shared" si="197"/>
        <v>0</v>
      </c>
      <c r="CD51" s="670">
        <f t="shared" si="198"/>
        <v>0</v>
      </c>
      <c r="CE51" s="670">
        <f t="shared" si="199"/>
        <v>0</v>
      </c>
      <c r="CF51" s="670">
        <f t="shared" si="200"/>
        <v>0</v>
      </c>
      <c r="CG51" s="675">
        <f t="shared" si="201"/>
        <v>0</v>
      </c>
      <c r="CH51" s="670">
        <f t="shared" si="439"/>
        <v>930</v>
      </c>
      <c r="CI51" s="670">
        <f t="shared" si="440"/>
        <v>0</v>
      </c>
      <c r="CJ51" s="670">
        <f t="shared" si="203"/>
        <v>0</v>
      </c>
      <c r="CK51" s="670">
        <f t="shared" si="203"/>
        <v>0</v>
      </c>
      <c r="CL51" s="670">
        <f t="shared" si="204"/>
        <v>0</v>
      </c>
      <c r="CM51" s="670">
        <f t="shared" si="205"/>
        <v>0</v>
      </c>
      <c r="CN51" s="670">
        <f t="shared" si="206"/>
        <v>0</v>
      </c>
      <c r="CO51" s="670">
        <f t="shared" si="207"/>
        <v>0</v>
      </c>
      <c r="CP51" s="670">
        <f t="shared" si="208"/>
        <v>0</v>
      </c>
      <c r="CQ51" s="670">
        <f t="shared" si="209"/>
        <v>0</v>
      </c>
      <c r="CR51" s="670">
        <f t="shared" si="210"/>
        <v>0</v>
      </c>
      <c r="CS51" s="670">
        <f t="shared" si="211"/>
        <v>0</v>
      </c>
      <c r="CT51" s="670">
        <f t="shared" si="212"/>
        <v>0</v>
      </c>
      <c r="CU51" s="670">
        <f t="shared" si="213"/>
        <v>0</v>
      </c>
      <c r="CV51" s="670">
        <f t="shared" si="214"/>
        <v>0</v>
      </c>
      <c r="CW51" s="670">
        <f t="shared" si="215"/>
        <v>0</v>
      </c>
      <c r="CX51" s="670">
        <f t="shared" si="216"/>
        <v>0</v>
      </c>
      <c r="CY51" s="670">
        <f t="shared" si="217"/>
        <v>0</v>
      </c>
      <c r="CZ51" s="670">
        <f t="shared" si="218"/>
        <v>0</v>
      </c>
      <c r="DA51" s="670">
        <f t="shared" si="219"/>
        <v>0</v>
      </c>
      <c r="DB51" s="670">
        <f t="shared" si="220"/>
        <v>0</v>
      </c>
      <c r="DC51" s="670">
        <f t="shared" si="221"/>
        <v>0</v>
      </c>
      <c r="DD51" s="680">
        <f t="shared" si="222"/>
        <v>0</v>
      </c>
      <c r="DE51" s="670">
        <f t="shared" si="223"/>
        <v>0</v>
      </c>
      <c r="DF51" s="670">
        <f t="shared" si="441"/>
        <v>62</v>
      </c>
      <c r="DG51" s="670">
        <f t="shared" si="442"/>
        <v>0</v>
      </c>
      <c r="DH51" s="670">
        <f t="shared" si="225"/>
        <v>0</v>
      </c>
      <c r="DI51" s="670">
        <f t="shared" si="225"/>
        <v>0</v>
      </c>
      <c r="DJ51" s="670">
        <f t="shared" si="226"/>
        <v>0</v>
      </c>
      <c r="DK51" s="670">
        <f t="shared" si="227"/>
        <v>0</v>
      </c>
      <c r="DL51" s="670">
        <f t="shared" si="228"/>
        <v>0</v>
      </c>
      <c r="DM51" s="670">
        <f t="shared" si="229"/>
        <v>0</v>
      </c>
      <c r="DN51" s="670">
        <f t="shared" si="230"/>
        <v>0</v>
      </c>
      <c r="DO51" s="670">
        <f t="shared" si="231"/>
        <v>0</v>
      </c>
      <c r="DP51" s="670">
        <f t="shared" si="232"/>
        <v>0</v>
      </c>
      <c r="DQ51" s="670">
        <f t="shared" si="233"/>
        <v>0</v>
      </c>
      <c r="DR51" s="670">
        <f t="shared" si="234"/>
        <v>0</v>
      </c>
      <c r="DS51" s="670">
        <f t="shared" si="235"/>
        <v>0</v>
      </c>
      <c r="DT51" s="670">
        <f t="shared" si="236"/>
        <v>0</v>
      </c>
      <c r="DU51" s="670">
        <f t="shared" si="237"/>
        <v>0</v>
      </c>
      <c r="DV51" s="670">
        <f t="shared" si="238"/>
        <v>0</v>
      </c>
      <c r="DW51" s="670">
        <f t="shared" si="239"/>
        <v>0</v>
      </c>
      <c r="DX51" s="670">
        <f t="shared" si="240"/>
        <v>0</v>
      </c>
      <c r="DY51" s="670">
        <f t="shared" si="241"/>
        <v>0</v>
      </c>
      <c r="DZ51" s="670">
        <f t="shared" si="242"/>
        <v>0</v>
      </c>
      <c r="EA51" s="670">
        <f t="shared" si="243"/>
        <v>0</v>
      </c>
      <c r="EB51" s="680">
        <f t="shared" si="244"/>
        <v>0</v>
      </c>
    </row>
    <row r="52" spans="1:132" s="594" customFormat="1" ht="13.8" thickBot="1" x14ac:dyDescent="0.3">
      <c r="B52" s="669" t="str">
        <f>'Gårdens info'!C107</f>
        <v>enradig potatisupptagare</v>
      </c>
      <c r="C52" s="596"/>
      <c r="E52" s="670">
        <v>2020</v>
      </c>
      <c r="H52" s="597">
        <v>15</v>
      </c>
      <c r="I52" s="594">
        <f>'Gårdens info'!D105</f>
        <v>20000</v>
      </c>
      <c r="J52" s="597">
        <f t="shared" si="155"/>
        <v>0</v>
      </c>
      <c r="K52" s="598">
        <v>0.03</v>
      </c>
      <c r="L52" s="599">
        <f>IF('Gårdens info'!$D$12&gt;0,('Gårdens info'!$D$12/('Gårdens info'!$D$12)),0)</f>
        <v>1</v>
      </c>
      <c r="M52" s="600">
        <v>0</v>
      </c>
      <c r="N52" s="600">
        <v>0</v>
      </c>
      <c r="O52" s="600">
        <v>0</v>
      </c>
      <c r="P52" s="600">
        <v>0</v>
      </c>
      <c r="Q52" s="600">
        <v>0</v>
      </c>
      <c r="R52" s="600">
        <v>0</v>
      </c>
      <c r="S52" s="600">
        <v>0</v>
      </c>
      <c r="T52" s="600">
        <v>0</v>
      </c>
      <c r="U52" s="600">
        <v>0</v>
      </c>
      <c r="V52" s="600">
        <v>0</v>
      </c>
      <c r="W52" s="600">
        <v>0</v>
      </c>
      <c r="X52" s="600">
        <v>0</v>
      </c>
      <c r="Y52" s="600">
        <v>0</v>
      </c>
      <c r="Z52" s="600">
        <v>0</v>
      </c>
      <c r="AA52" s="600">
        <v>0</v>
      </c>
      <c r="AB52" s="600">
        <v>0</v>
      </c>
      <c r="AC52" s="600">
        <v>0</v>
      </c>
      <c r="AD52" s="600">
        <v>0</v>
      </c>
      <c r="AE52" s="600">
        <v>0</v>
      </c>
      <c r="AF52" s="600">
        <v>0</v>
      </c>
      <c r="AG52" s="600">
        <v>0</v>
      </c>
      <c r="AH52" s="600">
        <v>0</v>
      </c>
      <c r="AI52" s="600">
        <v>0</v>
      </c>
      <c r="AJ52" s="601">
        <f t="shared" si="156"/>
        <v>1</v>
      </c>
      <c r="AK52" s="596">
        <f t="shared" si="157"/>
        <v>1333.3333333333333</v>
      </c>
      <c r="AL52" s="1">
        <f t="shared" si="443"/>
        <v>0</v>
      </c>
      <c r="AM52" s="596">
        <f>IF((($C$7-$E52)&lt;=$H52),(($I52-$J52)/$H52*N52),0)</f>
        <v>0</v>
      </c>
      <c r="AN52" s="596">
        <f t="shared" si="159"/>
        <v>0</v>
      </c>
      <c r="AO52" s="596">
        <f t="shared" si="159"/>
        <v>0</v>
      </c>
      <c r="AP52" s="596">
        <f t="shared" si="160"/>
        <v>0</v>
      </c>
      <c r="AQ52" s="596">
        <f>IF((($C$7-$E52)&lt;=$H52),(($I52-$J52)/$H52*R52),0)</f>
        <v>0</v>
      </c>
      <c r="AR52" s="596">
        <f>IF((($C$7-$E52)&lt;=$H52),(($I52-$J52)/$H52*S52),0)</f>
        <v>0</v>
      </c>
      <c r="AS52" s="596">
        <f>IF((($C$7-$E52)&lt;=$H52),(($I52-$J52)/$H52*T52),0)</f>
        <v>0</v>
      </c>
      <c r="AT52" s="596">
        <f>IF((($C$7-$E52)&lt;=$H52),(($I52-$J52)/$H52*U52),0)</f>
        <v>0</v>
      </c>
      <c r="AU52" s="596">
        <f>IF((($C$7-$E52)&lt;=$H52),(($I52-$J52)/$H52*V52),0)</f>
        <v>0</v>
      </c>
      <c r="AV52" s="596">
        <f t="shared" si="166"/>
        <v>0</v>
      </c>
      <c r="AW52" s="596">
        <f t="shared" si="167"/>
        <v>0</v>
      </c>
      <c r="AX52" s="596">
        <f t="shared" si="168"/>
        <v>0</v>
      </c>
      <c r="AY52" s="596">
        <f t="shared" si="169"/>
        <v>0</v>
      </c>
      <c r="AZ52" s="596">
        <f t="shared" si="170"/>
        <v>0</v>
      </c>
      <c r="BA52" s="596">
        <f t="shared" si="171"/>
        <v>0</v>
      </c>
      <c r="BB52" s="596">
        <f t="shared" si="172"/>
        <v>0</v>
      </c>
      <c r="BC52" s="596">
        <f t="shared" si="173"/>
        <v>0</v>
      </c>
      <c r="BD52" s="596">
        <f t="shared" si="174"/>
        <v>0</v>
      </c>
      <c r="BE52" s="596">
        <f t="shared" si="175"/>
        <v>0</v>
      </c>
      <c r="BF52" s="596">
        <f t="shared" si="176"/>
        <v>0</v>
      </c>
      <c r="BG52" s="596">
        <f t="shared" si="177"/>
        <v>0</v>
      </c>
      <c r="BH52" s="603">
        <f t="shared" si="178"/>
        <v>0</v>
      </c>
      <c r="BI52" s="596">
        <f t="shared" si="179"/>
        <v>500</v>
      </c>
      <c r="BJ52" s="1">
        <f t="shared" si="437"/>
        <v>0</v>
      </c>
      <c r="BK52" s="596">
        <f t="shared" si="438"/>
        <v>0</v>
      </c>
      <c r="BL52" s="596">
        <f t="shared" si="181"/>
        <v>0</v>
      </c>
      <c r="BM52" s="596">
        <f t="shared" si="181"/>
        <v>0</v>
      </c>
      <c r="BN52" s="596">
        <f t="shared" si="182"/>
        <v>0</v>
      </c>
      <c r="BO52" s="596">
        <f>IF(($C$7-$E52&lt;=$H52),(($I52+$J52)/2*$C$8*R52),0)</f>
        <v>0</v>
      </c>
      <c r="BP52" s="596">
        <f>IF(($C$7-$E52&lt;=$H52),(($I52+$J52)/2*$C$8*S52),0)</f>
        <v>0</v>
      </c>
      <c r="BQ52" s="596">
        <f>IF(($C$7-$E52&lt;=$H52),(($I52+$J52)/2*$C$8*T52),0)</f>
        <v>0</v>
      </c>
      <c r="BR52" s="596">
        <f>IF(($C$7-$E52&lt;=$H52),(($I52+$J52)/2*$C$8*U52),0)</f>
        <v>0</v>
      </c>
      <c r="BS52" s="596">
        <f>IF(($C$7-$E52&lt;=$H52),(($I52+$J52)/2*$C$8*V52),0)</f>
        <v>0</v>
      </c>
      <c r="BT52" s="596">
        <f t="shared" si="188"/>
        <v>0</v>
      </c>
      <c r="BU52" s="596">
        <f t="shared" si="189"/>
        <v>0</v>
      </c>
      <c r="BV52" s="596">
        <f t="shared" si="190"/>
        <v>0</v>
      </c>
      <c r="BW52" s="596">
        <f t="shared" si="191"/>
        <v>0</v>
      </c>
      <c r="BX52" s="596">
        <f t="shared" si="192"/>
        <v>0</v>
      </c>
      <c r="BY52" s="596">
        <f t="shared" si="193"/>
        <v>0</v>
      </c>
      <c r="BZ52" s="596">
        <f t="shared" si="194"/>
        <v>0</v>
      </c>
      <c r="CA52" s="596">
        <f t="shared" si="195"/>
        <v>0</v>
      </c>
      <c r="CB52" s="596">
        <f t="shared" si="196"/>
        <v>0</v>
      </c>
      <c r="CC52" s="596">
        <f t="shared" si="197"/>
        <v>0</v>
      </c>
      <c r="CD52" s="596">
        <f t="shared" si="198"/>
        <v>0</v>
      </c>
      <c r="CE52" s="596">
        <f t="shared" si="199"/>
        <v>0</v>
      </c>
      <c r="CF52" s="596">
        <f t="shared" si="200"/>
        <v>0</v>
      </c>
      <c r="CG52" s="602">
        <f t="shared" si="201"/>
        <v>600</v>
      </c>
      <c r="CH52" s="1">
        <f t="shared" si="439"/>
        <v>0</v>
      </c>
      <c r="CI52" s="596">
        <f t="shared" si="440"/>
        <v>0</v>
      </c>
      <c r="CJ52" s="596">
        <f t="shared" si="203"/>
        <v>0</v>
      </c>
      <c r="CK52" s="596">
        <f t="shared" si="203"/>
        <v>0</v>
      </c>
      <c r="CL52" s="596">
        <f t="shared" si="204"/>
        <v>0</v>
      </c>
      <c r="CM52" s="596">
        <f>$I52*$K52*R52</f>
        <v>0</v>
      </c>
      <c r="CN52" s="596">
        <f>$I52*$K52*S52</f>
        <v>0</v>
      </c>
      <c r="CO52" s="596">
        <f>$I52*$K52*T52</f>
        <v>0</v>
      </c>
      <c r="CP52" s="596">
        <f>$I52*$K52*U52</f>
        <v>0</v>
      </c>
      <c r="CQ52" s="596">
        <f>$I52*$K52*V52</f>
        <v>0</v>
      </c>
      <c r="CR52" s="596">
        <f t="shared" si="210"/>
        <v>0</v>
      </c>
      <c r="CS52" s="596">
        <f t="shared" si="211"/>
        <v>0</v>
      </c>
      <c r="CT52" s="596">
        <f t="shared" si="212"/>
        <v>0</v>
      </c>
      <c r="CU52" s="596">
        <f t="shared" si="213"/>
        <v>0</v>
      </c>
      <c r="CV52" s="596">
        <f t="shared" si="214"/>
        <v>0</v>
      </c>
      <c r="CW52" s="596">
        <f t="shared" si="215"/>
        <v>0</v>
      </c>
      <c r="CX52" s="596">
        <f t="shared" si="216"/>
        <v>0</v>
      </c>
      <c r="CY52" s="596">
        <f t="shared" si="217"/>
        <v>0</v>
      </c>
      <c r="CZ52" s="596">
        <f t="shared" si="218"/>
        <v>0</v>
      </c>
      <c r="DA52" s="596">
        <f t="shared" si="219"/>
        <v>0</v>
      </c>
      <c r="DB52" s="596">
        <f t="shared" si="220"/>
        <v>0</v>
      </c>
      <c r="DC52" s="596">
        <f t="shared" si="221"/>
        <v>0</v>
      </c>
      <c r="DD52" s="603">
        <f t="shared" si="222"/>
        <v>0</v>
      </c>
      <c r="DE52" s="596">
        <f t="shared" si="223"/>
        <v>40</v>
      </c>
      <c r="DF52" s="1">
        <f t="shared" si="441"/>
        <v>0</v>
      </c>
      <c r="DG52" s="596">
        <f t="shared" si="442"/>
        <v>0</v>
      </c>
      <c r="DH52" s="596">
        <f t="shared" si="225"/>
        <v>0</v>
      </c>
      <c r="DI52" s="596">
        <f t="shared" si="225"/>
        <v>0</v>
      </c>
      <c r="DJ52" s="596">
        <f t="shared" si="226"/>
        <v>0</v>
      </c>
      <c r="DK52" s="596">
        <f>$I52*$C$9*R52</f>
        <v>0</v>
      </c>
      <c r="DL52" s="596">
        <f>$I52*$C$9*S52</f>
        <v>0</v>
      </c>
      <c r="DM52" s="596">
        <f>$I52*$C$9*T52</f>
        <v>0</v>
      </c>
      <c r="DN52" s="596">
        <f>$I52*$C$9*U52</f>
        <v>0</v>
      </c>
      <c r="DO52" s="596">
        <f>$I52*$C$9*V52</f>
        <v>0</v>
      </c>
      <c r="DP52" s="596">
        <f t="shared" si="232"/>
        <v>0</v>
      </c>
      <c r="DQ52" s="596">
        <f t="shared" si="233"/>
        <v>0</v>
      </c>
      <c r="DR52" s="596">
        <f t="shared" si="234"/>
        <v>0</v>
      </c>
      <c r="DS52" s="596">
        <f t="shared" si="235"/>
        <v>0</v>
      </c>
      <c r="DT52" s="596">
        <f t="shared" si="236"/>
        <v>0</v>
      </c>
      <c r="DU52" s="596">
        <f t="shared" si="237"/>
        <v>0</v>
      </c>
      <c r="DV52" s="596">
        <f t="shared" si="238"/>
        <v>0</v>
      </c>
      <c r="DW52" s="596">
        <f t="shared" si="239"/>
        <v>0</v>
      </c>
      <c r="DX52" s="596">
        <f t="shared" si="240"/>
        <v>0</v>
      </c>
      <c r="DY52" s="596">
        <f t="shared" si="241"/>
        <v>0</v>
      </c>
      <c r="DZ52" s="596">
        <f t="shared" si="242"/>
        <v>0</v>
      </c>
      <c r="EA52" s="596">
        <f t="shared" si="243"/>
        <v>0</v>
      </c>
      <c r="EB52" s="603">
        <f t="shared" si="244"/>
        <v>0</v>
      </c>
    </row>
    <row r="53" spans="1:132" s="669" customFormat="1" ht="13.8" thickBot="1" x14ac:dyDescent="0.3">
      <c r="B53" s="669" t="str">
        <f>'Gårdens info'!C108</f>
        <v>sorteringslinje för potatis</v>
      </c>
      <c r="C53" s="670"/>
      <c r="E53" s="670">
        <f>'Gårdens info'!J106</f>
        <v>2005</v>
      </c>
      <c r="H53" s="671">
        <v>15</v>
      </c>
      <c r="I53" s="669">
        <f>'Gårdens info'!D106</f>
        <v>30000</v>
      </c>
      <c r="J53" s="671">
        <v>0</v>
      </c>
      <c r="K53" s="672">
        <v>0.03</v>
      </c>
      <c r="L53" s="673">
        <v>0</v>
      </c>
      <c r="M53" s="742">
        <f>IF('Gårdens info'!$D$9&gt;0,('Gårdens info'!$D$9/('Gårdens info'!$D$9)),0)</f>
        <v>1</v>
      </c>
      <c r="N53" s="673">
        <v>0</v>
      </c>
      <c r="O53" s="673">
        <v>0</v>
      </c>
      <c r="P53" s="673">
        <v>0</v>
      </c>
      <c r="Q53" s="673">
        <v>0</v>
      </c>
      <c r="R53" s="673">
        <v>0</v>
      </c>
      <c r="S53" s="673">
        <v>0</v>
      </c>
      <c r="T53" s="673">
        <v>0</v>
      </c>
      <c r="U53" s="673">
        <v>0</v>
      </c>
      <c r="V53" s="673">
        <v>0</v>
      </c>
      <c r="W53" s="673">
        <v>0</v>
      </c>
      <c r="X53" s="673">
        <v>0</v>
      </c>
      <c r="Y53" s="673">
        <v>0</v>
      </c>
      <c r="Z53" s="673">
        <v>0</v>
      </c>
      <c r="AA53" s="673">
        <v>0</v>
      </c>
      <c r="AB53" s="673">
        <v>0</v>
      </c>
      <c r="AC53" s="673">
        <v>0</v>
      </c>
      <c r="AD53" s="673">
        <v>0</v>
      </c>
      <c r="AE53" s="673">
        <v>0</v>
      </c>
      <c r="AF53" s="673">
        <v>0</v>
      </c>
      <c r="AG53" s="673">
        <v>0</v>
      </c>
      <c r="AH53" s="673">
        <v>0</v>
      </c>
      <c r="AI53" s="673">
        <v>0</v>
      </c>
      <c r="AJ53" s="676">
        <f t="shared" si="156"/>
        <v>1</v>
      </c>
      <c r="AK53" s="1">
        <f t="shared" si="157"/>
        <v>0</v>
      </c>
      <c r="AL53" s="670">
        <f t="shared" si="443"/>
        <v>0</v>
      </c>
      <c r="AM53" s="1">
        <f t="shared" ref="AM53:AM56" si="464">IF((($C$7-$E53)&lt;=$H53),(($I53-$J53)/$H53*N53),0)</f>
        <v>0</v>
      </c>
      <c r="AN53" s="1">
        <f t="shared" ref="AN53:AO56" si="465">IF((($C$7-$E53)&lt;=$H53),(($I53-$J53)/$H53*O53),0)</f>
        <v>0</v>
      </c>
      <c r="AO53" s="1">
        <f t="shared" si="465"/>
        <v>0</v>
      </c>
      <c r="AP53" s="1">
        <f t="shared" ref="AP53:AP56" si="466">IF((($C$7-$E53)&lt;=$H53),(($I53-$J53)/$H53*Q53),0)</f>
        <v>0</v>
      </c>
      <c r="AQ53" s="1">
        <f t="shared" ref="AQ53:AQ56" si="467">IF((($C$7-$E53)&lt;=$H53),(($I53-$J53)/$H53*R53),0)</f>
        <v>0</v>
      </c>
      <c r="AR53" s="1">
        <f t="shared" ref="AR53:AR56" si="468">IF((($C$7-$E53)&lt;=$H53),(($I53-$J53)/$H53*S53),0)</f>
        <v>0</v>
      </c>
      <c r="AS53" s="1">
        <f t="shared" ref="AS53:AS56" si="469">IF((($C$7-$E53)&lt;=$H53),(($I53-$J53)/$H53*T53),0)</f>
        <v>0</v>
      </c>
      <c r="AT53" s="1">
        <f t="shared" ref="AT53:AT56" si="470">IF((($C$7-$E53)&lt;=$H53),(($I53-$J53)/$H53*U53),0)</f>
        <v>0</v>
      </c>
      <c r="AU53" s="1">
        <f t="shared" ref="AU53:AU56" si="471">IF((($C$7-$E53)&lt;=$H53),(($I53-$J53)/$H53*V53),0)</f>
        <v>0</v>
      </c>
      <c r="AV53" s="1">
        <f t="shared" ref="AV53:AV56" si="472">IF((($C$7-$E53)&lt;=$H53),(($I53-$J53)/$H53*W53),0)</f>
        <v>0</v>
      </c>
      <c r="AW53" s="1">
        <f t="shared" ref="AW53:AW56" si="473">IF((($C$7-$E53)&lt;=$H53),(($I53-$J53)/$H53*X53),0)</f>
        <v>0</v>
      </c>
      <c r="AX53" s="1">
        <f t="shared" ref="AX53:AX56" si="474">IF((($C$7-$E53)&lt;=$H53),(($I53-$J53)/$H53*Y53),0)</f>
        <v>0</v>
      </c>
      <c r="AY53" s="1">
        <f t="shared" ref="AY53:AY56" si="475">IF((($C$7-$E53)&lt;=$H53),(($I53-$J53)/$H53*Z53),0)</f>
        <v>0</v>
      </c>
      <c r="AZ53" s="1">
        <f t="shared" ref="AZ53:AZ56" si="476">IF((($C$7-$E53)&lt;=$H53),(($I53-$J53)/$H53*AA53),0)</f>
        <v>0</v>
      </c>
      <c r="BA53" s="1">
        <f t="shared" ref="BA53:BA56" si="477">IF((($C$7-$E53)&lt;=$H53),(($I53-$J53)/$H53*AB53),0)</f>
        <v>0</v>
      </c>
      <c r="BB53" s="1">
        <f t="shared" ref="BB53:BB56" si="478">IF((($C$7-$E53)&lt;=$H53),(($I53-$J53)/$H53*AC53),0)</f>
        <v>0</v>
      </c>
      <c r="BC53" s="1">
        <f t="shared" ref="BC53:BC56" si="479">IF((($C$7-$E53)&lt;=$H53),(($I53-$J53)/$H53*AD53),0)</f>
        <v>0</v>
      </c>
      <c r="BD53" s="1">
        <f t="shared" ref="BD53:BD56" si="480">IF((($C$7-$E53)&lt;=$H53),(($I53-$J53)/$H53*AE53),0)</f>
        <v>0</v>
      </c>
      <c r="BE53" s="1">
        <f t="shared" ref="BE53:BE56" si="481">IF((($C$7-$E53)&lt;=$H53),(($I53-$J53)/$H53*AF53),0)</f>
        <v>0</v>
      </c>
      <c r="BF53" s="1">
        <f t="shared" ref="BF53:BF56" si="482">IF((($C$7-$E53)&lt;=$H53),(($I53-$J53)/$H53*AG53),0)</f>
        <v>0</v>
      </c>
      <c r="BG53" s="1">
        <f t="shared" ref="BG53:BG56" si="483">IF((($C$7-$E53)&lt;=$H53),(($I53-$J53)/$H53*AH53),0)</f>
        <v>0</v>
      </c>
      <c r="BH53" s="24">
        <f t="shared" ref="BH53:BH56" si="484">IF((($C$7-$E53)&lt;=$H53),(($I53-$J53)/$H53*AI53),0)</f>
        <v>0</v>
      </c>
      <c r="BI53" s="675">
        <f t="shared" si="179"/>
        <v>0</v>
      </c>
      <c r="BJ53" s="670">
        <f t="shared" si="437"/>
        <v>0</v>
      </c>
      <c r="BK53" s="670">
        <f t="shared" si="438"/>
        <v>0</v>
      </c>
      <c r="BL53" s="670">
        <f t="shared" si="181"/>
        <v>0</v>
      </c>
      <c r="BM53" s="670">
        <f t="shared" si="181"/>
        <v>0</v>
      </c>
      <c r="BN53" s="670">
        <f t="shared" si="182"/>
        <v>0</v>
      </c>
      <c r="BO53" s="670">
        <f t="shared" ref="BO53:BO56" si="485">IF(($C$7-$E53&lt;=$H53),(($I53+$J53)/2*$C$8*R53),0)</f>
        <v>0</v>
      </c>
      <c r="BP53" s="670">
        <f t="shared" ref="BP53:BP56" si="486">IF(($C$7-$E53&lt;=$H53),(($I53+$J53)/2*$C$8*S53),0)</f>
        <v>0</v>
      </c>
      <c r="BQ53" s="670">
        <f t="shared" ref="BQ53:BQ56" si="487">IF(($C$7-$E53&lt;=$H53),(($I53+$J53)/2*$C$8*T53),0)</f>
        <v>0</v>
      </c>
      <c r="BR53" s="670">
        <f t="shared" ref="BR53:BR56" si="488">IF(($C$7-$E53&lt;=$H53),(($I53+$J53)/2*$C$8*U53),0)</f>
        <v>0</v>
      </c>
      <c r="BS53" s="670">
        <f t="shared" ref="BS53:BS56" si="489">IF(($C$7-$E53&lt;=$H53),(($I53+$J53)/2*$C$8*V53),0)</f>
        <v>0</v>
      </c>
      <c r="BT53" s="670">
        <f t="shared" si="188"/>
        <v>0</v>
      </c>
      <c r="BU53" s="670">
        <f t="shared" si="189"/>
        <v>0</v>
      </c>
      <c r="BV53" s="670">
        <f t="shared" si="190"/>
        <v>0</v>
      </c>
      <c r="BW53" s="670">
        <f t="shared" si="191"/>
        <v>0</v>
      </c>
      <c r="BX53" s="670">
        <f t="shared" si="192"/>
        <v>0</v>
      </c>
      <c r="BY53" s="670">
        <f t="shared" si="193"/>
        <v>0</v>
      </c>
      <c r="BZ53" s="670">
        <f t="shared" si="194"/>
        <v>0</v>
      </c>
      <c r="CA53" s="670">
        <f t="shared" si="195"/>
        <v>0</v>
      </c>
      <c r="CB53" s="670">
        <f t="shared" si="196"/>
        <v>0</v>
      </c>
      <c r="CC53" s="670">
        <f t="shared" si="197"/>
        <v>0</v>
      </c>
      <c r="CD53" s="670">
        <f t="shared" si="198"/>
        <v>0</v>
      </c>
      <c r="CE53" s="670">
        <f t="shared" si="199"/>
        <v>0</v>
      </c>
      <c r="CF53" s="680">
        <f t="shared" si="200"/>
        <v>0</v>
      </c>
      <c r="CG53" s="675">
        <f t="shared" si="201"/>
        <v>0</v>
      </c>
      <c r="CH53" s="670">
        <f t="shared" si="439"/>
        <v>900</v>
      </c>
      <c r="CI53" s="670">
        <f t="shared" si="440"/>
        <v>0</v>
      </c>
      <c r="CJ53" s="670">
        <f t="shared" si="203"/>
        <v>0</v>
      </c>
      <c r="CK53" s="670">
        <f t="shared" si="203"/>
        <v>0</v>
      </c>
      <c r="CL53" s="670">
        <f t="shared" si="204"/>
        <v>0</v>
      </c>
      <c r="CM53" s="670">
        <f t="shared" ref="CM53:CM56" si="490">$I53*$K53*R53</f>
        <v>0</v>
      </c>
      <c r="CN53" s="670">
        <f t="shared" ref="CN53:CN56" si="491">$I53*$K53*S53</f>
        <v>0</v>
      </c>
      <c r="CO53" s="670">
        <f t="shared" ref="CO53:CO56" si="492">$I53*$K53*T53</f>
        <v>0</v>
      </c>
      <c r="CP53" s="670">
        <f t="shared" ref="CP53:CP56" si="493">$I53*$K53*U53</f>
        <v>0</v>
      </c>
      <c r="CQ53" s="670">
        <f t="shared" ref="CQ53:CQ56" si="494">$I53*$K53*V53</f>
        <v>0</v>
      </c>
      <c r="CR53" s="670">
        <f t="shared" si="210"/>
        <v>0</v>
      </c>
      <c r="CS53" s="670">
        <f t="shared" si="211"/>
        <v>0</v>
      </c>
      <c r="CT53" s="670">
        <f t="shared" si="212"/>
        <v>0</v>
      </c>
      <c r="CU53" s="670">
        <f t="shared" si="213"/>
        <v>0</v>
      </c>
      <c r="CV53" s="670">
        <f t="shared" si="214"/>
        <v>0</v>
      </c>
      <c r="CW53" s="670">
        <f t="shared" si="215"/>
        <v>0</v>
      </c>
      <c r="CX53" s="670">
        <f t="shared" si="216"/>
        <v>0</v>
      </c>
      <c r="CY53" s="670">
        <f t="shared" si="217"/>
        <v>0</v>
      </c>
      <c r="CZ53" s="670">
        <f t="shared" si="218"/>
        <v>0</v>
      </c>
      <c r="DA53" s="670">
        <f t="shared" si="219"/>
        <v>0</v>
      </c>
      <c r="DB53" s="670">
        <f t="shared" si="220"/>
        <v>0</v>
      </c>
      <c r="DC53" s="670">
        <f t="shared" si="221"/>
        <v>0</v>
      </c>
      <c r="DD53" s="680">
        <f t="shared" si="222"/>
        <v>0</v>
      </c>
      <c r="DE53" s="670">
        <f t="shared" si="223"/>
        <v>0</v>
      </c>
      <c r="DF53" s="670">
        <f t="shared" si="441"/>
        <v>60</v>
      </c>
      <c r="DG53" s="670">
        <f t="shared" si="442"/>
        <v>0</v>
      </c>
      <c r="DH53" s="670">
        <f t="shared" si="225"/>
        <v>0</v>
      </c>
      <c r="DI53" s="670">
        <f t="shared" si="225"/>
        <v>0</v>
      </c>
      <c r="DJ53" s="670">
        <f t="shared" si="226"/>
        <v>0</v>
      </c>
      <c r="DK53" s="670">
        <f t="shared" ref="DK53:DK56" si="495">$I53*$C$9*R53</f>
        <v>0</v>
      </c>
      <c r="DL53" s="670">
        <f t="shared" ref="DL53:DL56" si="496">$I53*$C$9*S53</f>
        <v>0</v>
      </c>
      <c r="DM53" s="670">
        <f t="shared" ref="DM53:DM56" si="497">$I53*$C$9*T53</f>
        <v>0</v>
      </c>
      <c r="DN53" s="670">
        <f t="shared" ref="DN53:DN56" si="498">$I53*$C$9*U53</f>
        <v>0</v>
      </c>
      <c r="DO53" s="670">
        <f t="shared" ref="DO53:DO56" si="499">$I53*$C$9*V53</f>
        <v>0</v>
      </c>
      <c r="DP53" s="670">
        <f t="shared" si="232"/>
        <v>0</v>
      </c>
      <c r="DQ53" s="670">
        <f t="shared" si="233"/>
        <v>0</v>
      </c>
      <c r="DR53" s="670">
        <f t="shared" si="234"/>
        <v>0</v>
      </c>
      <c r="DS53" s="670">
        <f t="shared" si="235"/>
        <v>0</v>
      </c>
      <c r="DT53" s="670">
        <f t="shared" si="236"/>
        <v>0</v>
      </c>
      <c r="DU53" s="670">
        <f t="shared" si="237"/>
        <v>0</v>
      </c>
      <c r="DV53" s="670">
        <f t="shared" si="238"/>
        <v>0</v>
      </c>
      <c r="DW53" s="670">
        <f t="shared" si="239"/>
        <v>0</v>
      </c>
      <c r="DX53" s="670">
        <f t="shared" si="240"/>
        <v>0</v>
      </c>
      <c r="DY53" s="670">
        <f t="shared" si="241"/>
        <v>0</v>
      </c>
      <c r="DZ53" s="670">
        <f t="shared" si="242"/>
        <v>0</v>
      </c>
      <c r="EA53" s="670">
        <f t="shared" si="243"/>
        <v>0</v>
      </c>
      <c r="EB53" s="680">
        <f t="shared" si="244"/>
        <v>0</v>
      </c>
    </row>
    <row r="54" spans="1:132" s="669" customFormat="1" ht="13.8" thickBot="1" x14ac:dyDescent="0.3">
      <c r="B54" s="669" t="str">
        <f>'Gårdens info'!C109</f>
        <v>jordfräs med myllningsfunktion</v>
      </c>
      <c r="C54" s="670"/>
      <c r="E54" s="670">
        <f>'Gårdens info'!J107</f>
        <v>2007</v>
      </c>
      <c r="H54" s="671">
        <v>15</v>
      </c>
      <c r="I54" s="669">
        <f>'Gårdens info'!D107</f>
        <v>44000</v>
      </c>
      <c r="J54" s="671">
        <v>0</v>
      </c>
      <c r="K54" s="672">
        <v>0.03</v>
      </c>
      <c r="L54" s="673">
        <v>0</v>
      </c>
      <c r="M54" s="742">
        <f>IF('Gårdens info'!$D$9&gt;0,('Gårdens info'!$D$9/('Gårdens info'!$D$9)),0)</f>
        <v>1</v>
      </c>
      <c r="N54" s="673">
        <v>0</v>
      </c>
      <c r="O54" s="673">
        <v>0</v>
      </c>
      <c r="P54" s="673">
        <v>0</v>
      </c>
      <c r="Q54" s="673">
        <v>0</v>
      </c>
      <c r="R54" s="673">
        <v>0</v>
      </c>
      <c r="S54" s="673">
        <v>0</v>
      </c>
      <c r="T54" s="673">
        <v>0</v>
      </c>
      <c r="U54" s="673">
        <v>0</v>
      </c>
      <c r="V54" s="673">
        <v>0</v>
      </c>
      <c r="W54" s="673">
        <v>0</v>
      </c>
      <c r="X54" s="673">
        <v>0</v>
      </c>
      <c r="Y54" s="673">
        <v>0</v>
      </c>
      <c r="Z54" s="673">
        <v>0</v>
      </c>
      <c r="AA54" s="673">
        <v>0</v>
      </c>
      <c r="AB54" s="673">
        <v>0</v>
      </c>
      <c r="AC54" s="673">
        <v>0</v>
      </c>
      <c r="AD54" s="673">
        <v>0</v>
      </c>
      <c r="AE54" s="673">
        <v>0</v>
      </c>
      <c r="AF54" s="673">
        <v>0</v>
      </c>
      <c r="AG54" s="673">
        <v>0</v>
      </c>
      <c r="AH54" s="673">
        <v>0</v>
      </c>
      <c r="AI54" s="673">
        <v>0</v>
      </c>
      <c r="AJ54" s="676">
        <f t="shared" si="156"/>
        <v>1</v>
      </c>
      <c r="AK54" s="670">
        <f t="shared" si="157"/>
        <v>0</v>
      </c>
      <c r="AL54" s="670">
        <f t="shared" si="443"/>
        <v>0</v>
      </c>
      <c r="AM54" s="670">
        <f t="shared" si="464"/>
        <v>0</v>
      </c>
      <c r="AN54" s="670">
        <f t="shared" si="465"/>
        <v>0</v>
      </c>
      <c r="AO54" s="670">
        <f t="shared" si="465"/>
        <v>0</v>
      </c>
      <c r="AP54" s="670">
        <f t="shared" si="466"/>
        <v>0</v>
      </c>
      <c r="AQ54" s="670">
        <f t="shared" si="467"/>
        <v>0</v>
      </c>
      <c r="AR54" s="670">
        <f t="shared" si="468"/>
        <v>0</v>
      </c>
      <c r="AS54" s="670">
        <f t="shared" si="469"/>
        <v>0</v>
      </c>
      <c r="AT54" s="670">
        <f t="shared" si="470"/>
        <v>0</v>
      </c>
      <c r="AU54" s="670">
        <f t="shared" si="471"/>
        <v>0</v>
      </c>
      <c r="AV54" s="670">
        <f t="shared" si="472"/>
        <v>0</v>
      </c>
      <c r="AW54" s="670">
        <f t="shared" si="473"/>
        <v>0</v>
      </c>
      <c r="AX54" s="670">
        <f t="shared" si="474"/>
        <v>0</v>
      </c>
      <c r="AY54" s="670">
        <f t="shared" si="475"/>
        <v>0</v>
      </c>
      <c r="AZ54" s="670">
        <f t="shared" si="476"/>
        <v>0</v>
      </c>
      <c r="BA54" s="670">
        <f t="shared" si="477"/>
        <v>0</v>
      </c>
      <c r="BB54" s="670">
        <f t="shared" si="478"/>
        <v>0</v>
      </c>
      <c r="BC54" s="670">
        <f t="shared" si="479"/>
        <v>0</v>
      </c>
      <c r="BD54" s="670">
        <f t="shared" si="480"/>
        <v>0</v>
      </c>
      <c r="BE54" s="670">
        <f t="shared" si="481"/>
        <v>0</v>
      </c>
      <c r="BF54" s="670">
        <f t="shared" si="482"/>
        <v>0</v>
      </c>
      <c r="BG54" s="670">
        <f t="shared" si="483"/>
        <v>0</v>
      </c>
      <c r="BH54" s="680">
        <f t="shared" si="484"/>
        <v>0</v>
      </c>
      <c r="BI54" s="675">
        <f t="shared" si="179"/>
        <v>0</v>
      </c>
      <c r="BJ54" s="670">
        <f t="shared" si="437"/>
        <v>0</v>
      </c>
      <c r="BK54" s="670">
        <f t="shared" si="438"/>
        <v>0</v>
      </c>
      <c r="BL54" s="670">
        <f t="shared" si="181"/>
        <v>0</v>
      </c>
      <c r="BM54" s="670">
        <f t="shared" si="181"/>
        <v>0</v>
      </c>
      <c r="BN54" s="670">
        <f t="shared" si="182"/>
        <v>0</v>
      </c>
      <c r="BO54" s="670">
        <f t="shared" si="485"/>
        <v>0</v>
      </c>
      <c r="BP54" s="670">
        <f t="shared" si="486"/>
        <v>0</v>
      </c>
      <c r="BQ54" s="670">
        <f t="shared" si="487"/>
        <v>0</v>
      </c>
      <c r="BR54" s="670">
        <f t="shared" si="488"/>
        <v>0</v>
      </c>
      <c r="BS54" s="670">
        <f t="shared" si="489"/>
        <v>0</v>
      </c>
      <c r="BT54" s="670">
        <f t="shared" si="188"/>
        <v>0</v>
      </c>
      <c r="BU54" s="670">
        <f t="shared" si="189"/>
        <v>0</v>
      </c>
      <c r="BV54" s="670">
        <f t="shared" si="190"/>
        <v>0</v>
      </c>
      <c r="BW54" s="670">
        <f t="shared" si="191"/>
        <v>0</v>
      </c>
      <c r="BX54" s="670">
        <f t="shared" si="192"/>
        <v>0</v>
      </c>
      <c r="BY54" s="670">
        <f t="shared" si="193"/>
        <v>0</v>
      </c>
      <c r="BZ54" s="670">
        <f t="shared" si="194"/>
        <v>0</v>
      </c>
      <c r="CA54" s="670">
        <f t="shared" si="195"/>
        <v>0</v>
      </c>
      <c r="CB54" s="670">
        <f t="shared" si="196"/>
        <v>0</v>
      </c>
      <c r="CC54" s="670">
        <f t="shared" si="197"/>
        <v>0</v>
      </c>
      <c r="CD54" s="670">
        <f t="shared" si="198"/>
        <v>0</v>
      </c>
      <c r="CE54" s="670">
        <f t="shared" si="199"/>
        <v>0</v>
      </c>
      <c r="CF54" s="680">
        <f t="shared" si="200"/>
        <v>0</v>
      </c>
      <c r="CG54" s="675">
        <f t="shared" si="201"/>
        <v>0</v>
      </c>
      <c r="CH54" s="670">
        <f t="shared" si="439"/>
        <v>1320</v>
      </c>
      <c r="CI54" s="670">
        <f t="shared" si="440"/>
        <v>0</v>
      </c>
      <c r="CJ54" s="670">
        <f t="shared" si="203"/>
        <v>0</v>
      </c>
      <c r="CK54" s="670">
        <f t="shared" si="203"/>
        <v>0</v>
      </c>
      <c r="CL54" s="670">
        <f t="shared" si="204"/>
        <v>0</v>
      </c>
      <c r="CM54" s="670">
        <f t="shared" si="490"/>
        <v>0</v>
      </c>
      <c r="CN54" s="670">
        <f t="shared" si="491"/>
        <v>0</v>
      </c>
      <c r="CO54" s="670">
        <f t="shared" si="492"/>
        <v>0</v>
      </c>
      <c r="CP54" s="670">
        <f t="shared" si="493"/>
        <v>0</v>
      </c>
      <c r="CQ54" s="670">
        <f t="shared" si="494"/>
        <v>0</v>
      </c>
      <c r="CR54" s="670">
        <f t="shared" si="210"/>
        <v>0</v>
      </c>
      <c r="CS54" s="670">
        <f t="shared" si="211"/>
        <v>0</v>
      </c>
      <c r="CT54" s="670">
        <f t="shared" si="212"/>
        <v>0</v>
      </c>
      <c r="CU54" s="670">
        <f t="shared" si="213"/>
        <v>0</v>
      </c>
      <c r="CV54" s="670">
        <f t="shared" si="214"/>
        <v>0</v>
      </c>
      <c r="CW54" s="670">
        <f t="shared" si="215"/>
        <v>0</v>
      </c>
      <c r="CX54" s="670">
        <f t="shared" si="216"/>
        <v>0</v>
      </c>
      <c r="CY54" s="670">
        <f t="shared" si="217"/>
        <v>0</v>
      </c>
      <c r="CZ54" s="670">
        <f t="shared" si="218"/>
        <v>0</v>
      </c>
      <c r="DA54" s="670">
        <f t="shared" si="219"/>
        <v>0</v>
      </c>
      <c r="DB54" s="670">
        <f t="shared" si="220"/>
        <v>0</v>
      </c>
      <c r="DC54" s="670">
        <f t="shared" si="221"/>
        <v>0</v>
      </c>
      <c r="DD54" s="680">
        <f t="shared" si="222"/>
        <v>0</v>
      </c>
      <c r="DE54" s="670">
        <f t="shared" si="223"/>
        <v>0</v>
      </c>
      <c r="DF54" s="670">
        <f t="shared" si="441"/>
        <v>88</v>
      </c>
      <c r="DG54" s="670">
        <f t="shared" si="442"/>
        <v>0</v>
      </c>
      <c r="DH54" s="670">
        <f t="shared" si="225"/>
        <v>0</v>
      </c>
      <c r="DI54" s="670">
        <f t="shared" si="225"/>
        <v>0</v>
      </c>
      <c r="DJ54" s="670">
        <f t="shared" si="226"/>
        <v>0</v>
      </c>
      <c r="DK54" s="670">
        <f t="shared" si="495"/>
        <v>0</v>
      </c>
      <c r="DL54" s="670">
        <f t="shared" si="496"/>
        <v>0</v>
      </c>
      <c r="DM54" s="670">
        <f t="shared" si="497"/>
        <v>0</v>
      </c>
      <c r="DN54" s="670">
        <f t="shared" si="498"/>
        <v>0</v>
      </c>
      <c r="DO54" s="670">
        <f t="shared" si="499"/>
        <v>0</v>
      </c>
      <c r="DP54" s="670">
        <f t="shared" si="232"/>
        <v>0</v>
      </c>
      <c r="DQ54" s="670">
        <f t="shared" si="233"/>
        <v>0</v>
      </c>
      <c r="DR54" s="670">
        <f t="shared" si="234"/>
        <v>0</v>
      </c>
      <c r="DS54" s="670">
        <f t="shared" si="235"/>
        <v>0</v>
      </c>
      <c r="DT54" s="670">
        <f t="shared" si="236"/>
        <v>0</v>
      </c>
      <c r="DU54" s="670">
        <f t="shared" si="237"/>
        <v>0</v>
      </c>
      <c r="DV54" s="670">
        <f t="shared" si="238"/>
        <v>0</v>
      </c>
      <c r="DW54" s="670">
        <f t="shared" si="239"/>
        <v>0</v>
      </c>
      <c r="DX54" s="670">
        <f t="shared" si="240"/>
        <v>0</v>
      </c>
      <c r="DY54" s="670">
        <f t="shared" si="241"/>
        <v>0</v>
      </c>
      <c r="DZ54" s="670">
        <f t="shared" si="242"/>
        <v>0</v>
      </c>
      <c r="EA54" s="670">
        <f t="shared" si="243"/>
        <v>0</v>
      </c>
      <c r="EB54" s="680">
        <f t="shared" si="244"/>
        <v>0</v>
      </c>
    </row>
    <row r="55" spans="1:132" s="669" customFormat="1" ht="13.8" thickBot="1" x14ac:dyDescent="0.3">
      <c r="B55" s="594" t="str">
        <f>'Gårdens info'!C110</f>
        <v>trädgårdsproduktion maskin X</v>
      </c>
      <c r="C55" s="670"/>
      <c r="E55" s="596">
        <f>'Gårdens info'!J108</f>
        <v>2008</v>
      </c>
      <c r="H55" s="671">
        <v>15</v>
      </c>
      <c r="I55" s="669">
        <f>'Gårdens info'!D108</f>
        <v>8000</v>
      </c>
      <c r="J55" s="671">
        <v>0</v>
      </c>
      <c r="K55" s="672">
        <v>0.03</v>
      </c>
      <c r="L55" s="673">
        <v>0</v>
      </c>
      <c r="M55" s="742">
        <f>IF('Gårdens info'!$D$9&gt;0,('Gårdens info'!$D$9/('Gårdens info'!$D$9)),0)</f>
        <v>1</v>
      </c>
      <c r="N55" s="673">
        <v>0</v>
      </c>
      <c r="O55" s="673">
        <v>0</v>
      </c>
      <c r="P55" s="673">
        <v>0</v>
      </c>
      <c r="Q55" s="673">
        <v>0</v>
      </c>
      <c r="R55" s="673">
        <v>0</v>
      </c>
      <c r="S55" s="673">
        <v>0</v>
      </c>
      <c r="T55" s="673">
        <v>0</v>
      </c>
      <c r="U55" s="673">
        <v>0</v>
      </c>
      <c r="V55" s="673">
        <v>0</v>
      </c>
      <c r="W55" s="673">
        <v>0</v>
      </c>
      <c r="X55" s="673">
        <v>0</v>
      </c>
      <c r="Y55" s="673">
        <v>0</v>
      </c>
      <c r="Z55" s="673">
        <v>0</v>
      </c>
      <c r="AA55" s="673">
        <v>0</v>
      </c>
      <c r="AB55" s="673">
        <v>0</v>
      </c>
      <c r="AC55" s="673">
        <v>0</v>
      </c>
      <c r="AD55" s="673">
        <v>0</v>
      </c>
      <c r="AE55" s="673">
        <v>0</v>
      </c>
      <c r="AF55" s="673">
        <v>0</v>
      </c>
      <c r="AG55" s="673">
        <v>0</v>
      </c>
      <c r="AH55" s="673">
        <v>0</v>
      </c>
      <c r="AI55" s="673">
        <v>0</v>
      </c>
      <c r="AJ55" s="676">
        <f t="shared" si="156"/>
        <v>1</v>
      </c>
      <c r="AK55" s="670">
        <f t="shared" si="157"/>
        <v>0</v>
      </c>
      <c r="AL55" s="670">
        <f t="shared" si="443"/>
        <v>0</v>
      </c>
      <c r="AM55" s="670">
        <f t="shared" si="464"/>
        <v>0</v>
      </c>
      <c r="AN55" s="670">
        <f t="shared" si="465"/>
        <v>0</v>
      </c>
      <c r="AO55" s="670">
        <f t="shared" si="465"/>
        <v>0</v>
      </c>
      <c r="AP55" s="670">
        <f t="shared" si="466"/>
        <v>0</v>
      </c>
      <c r="AQ55" s="670">
        <f t="shared" si="467"/>
        <v>0</v>
      </c>
      <c r="AR55" s="670">
        <f t="shared" si="468"/>
        <v>0</v>
      </c>
      <c r="AS55" s="670">
        <f t="shared" si="469"/>
        <v>0</v>
      </c>
      <c r="AT55" s="670">
        <f t="shared" si="470"/>
        <v>0</v>
      </c>
      <c r="AU55" s="670">
        <f t="shared" si="471"/>
        <v>0</v>
      </c>
      <c r="AV55" s="670">
        <f t="shared" si="472"/>
        <v>0</v>
      </c>
      <c r="AW55" s="670">
        <f t="shared" si="473"/>
        <v>0</v>
      </c>
      <c r="AX55" s="670">
        <f t="shared" si="474"/>
        <v>0</v>
      </c>
      <c r="AY55" s="670">
        <f t="shared" si="475"/>
        <v>0</v>
      </c>
      <c r="AZ55" s="670">
        <f t="shared" si="476"/>
        <v>0</v>
      </c>
      <c r="BA55" s="670">
        <f t="shared" si="477"/>
        <v>0</v>
      </c>
      <c r="BB55" s="670">
        <f t="shared" si="478"/>
        <v>0</v>
      </c>
      <c r="BC55" s="670">
        <f t="shared" si="479"/>
        <v>0</v>
      </c>
      <c r="BD55" s="670">
        <f t="shared" si="480"/>
        <v>0</v>
      </c>
      <c r="BE55" s="670">
        <f t="shared" si="481"/>
        <v>0</v>
      </c>
      <c r="BF55" s="670">
        <f t="shared" si="482"/>
        <v>0</v>
      </c>
      <c r="BG55" s="670">
        <f t="shared" si="483"/>
        <v>0</v>
      </c>
      <c r="BH55" s="680">
        <f t="shared" si="484"/>
        <v>0</v>
      </c>
      <c r="BI55" s="675">
        <f t="shared" si="179"/>
        <v>0</v>
      </c>
      <c r="BJ55" s="670">
        <f t="shared" si="437"/>
        <v>0</v>
      </c>
      <c r="BK55" s="670">
        <f t="shared" si="438"/>
        <v>0</v>
      </c>
      <c r="BL55" s="670">
        <f t="shared" si="181"/>
        <v>0</v>
      </c>
      <c r="BM55" s="670">
        <f t="shared" si="181"/>
        <v>0</v>
      </c>
      <c r="BN55" s="670">
        <f t="shared" si="182"/>
        <v>0</v>
      </c>
      <c r="BO55" s="670">
        <f t="shared" si="485"/>
        <v>0</v>
      </c>
      <c r="BP55" s="670">
        <f t="shared" si="486"/>
        <v>0</v>
      </c>
      <c r="BQ55" s="670">
        <f t="shared" si="487"/>
        <v>0</v>
      </c>
      <c r="BR55" s="670">
        <f t="shared" si="488"/>
        <v>0</v>
      </c>
      <c r="BS55" s="670">
        <f t="shared" si="489"/>
        <v>0</v>
      </c>
      <c r="BT55" s="670">
        <f t="shared" si="188"/>
        <v>0</v>
      </c>
      <c r="BU55" s="670">
        <f t="shared" si="189"/>
        <v>0</v>
      </c>
      <c r="BV55" s="670">
        <f t="shared" si="190"/>
        <v>0</v>
      </c>
      <c r="BW55" s="670">
        <f t="shared" si="191"/>
        <v>0</v>
      </c>
      <c r="BX55" s="670">
        <f t="shared" si="192"/>
        <v>0</v>
      </c>
      <c r="BY55" s="670">
        <f t="shared" si="193"/>
        <v>0</v>
      </c>
      <c r="BZ55" s="670">
        <f t="shared" si="194"/>
        <v>0</v>
      </c>
      <c r="CA55" s="670">
        <f t="shared" si="195"/>
        <v>0</v>
      </c>
      <c r="CB55" s="670">
        <f t="shared" si="196"/>
        <v>0</v>
      </c>
      <c r="CC55" s="670">
        <f t="shared" si="197"/>
        <v>0</v>
      </c>
      <c r="CD55" s="670">
        <f t="shared" si="198"/>
        <v>0</v>
      </c>
      <c r="CE55" s="670">
        <f t="shared" si="199"/>
        <v>0</v>
      </c>
      <c r="CF55" s="680">
        <f t="shared" si="200"/>
        <v>0</v>
      </c>
      <c r="CG55" s="675">
        <f t="shared" si="201"/>
        <v>0</v>
      </c>
      <c r="CH55" s="670">
        <f t="shared" si="439"/>
        <v>240</v>
      </c>
      <c r="CI55" s="670">
        <f t="shared" si="440"/>
        <v>0</v>
      </c>
      <c r="CJ55" s="670">
        <f t="shared" si="203"/>
        <v>0</v>
      </c>
      <c r="CK55" s="670">
        <f t="shared" si="203"/>
        <v>0</v>
      </c>
      <c r="CL55" s="670">
        <f t="shared" si="204"/>
        <v>0</v>
      </c>
      <c r="CM55" s="670">
        <f t="shared" si="490"/>
        <v>0</v>
      </c>
      <c r="CN55" s="670">
        <f t="shared" si="491"/>
        <v>0</v>
      </c>
      <c r="CO55" s="670">
        <f t="shared" si="492"/>
        <v>0</v>
      </c>
      <c r="CP55" s="670">
        <f t="shared" si="493"/>
        <v>0</v>
      </c>
      <c r="CQ55" s="670">
        <f t="shared" si="494"/>
        <v>0</v>
      </c>
      <c r="CR55" s="670">
        <f t="shared" si="210"/>
        <v>0</v>
      </c>
      <c r="CS55" s="670">
        <f t="shared" si="211"/>
        <v>0</v>
      </c>
      <c r="CT55" s="670">
        <f t="shared" si="212"/>
        <v>0</v>
      </c>
      <c r="CU55" s="670">
        <f t="shared" si="213"/>
        <v>0</v>
      </c>
      <c r="CV55" s="670">
        <f t="shared" si="214"/>
        <v>0</v>
      </c>
      <c r="CW55" s="670">
        <f t="shared" si="215"/>
        <v>0</v>
      </c>
      <c r="CX55" s="670">
        <f t="shared" si="216"/>
        <v>0</v>
      </c>
      <c r="CY55" s="670">
        <f t="shared" si="217"/>
        <v>0</v>
      </c>
      <c r="CZ55" s="670">
        <f t="shared" si="218"/>
        <v>0</v>
      </c>
      <c r="DA55" s="670">
        <f t="shared" si="219"/>
        <v>0</v>
      </c>
      <c r="DB55" s="670">
        <f t="shared" si="220"/>
        <v>0</v>
      </c>
      <c r="DC55" s="670">
        <f t="shared" si="221"/>
        <v>0</v>
      </c>
      <c r="DD55" s="680">
        <f t="shared" si="222"/>
        <v>0</v>
      </c>
      <c r="DE55" s="670">
        <f t="shared" si="223"/>
        <v>0</v>
      </c>
      <c r="DF55" s="670">
        <f t="shared" si="441"/>
        <v>16</v>
      </c>
      <c r="DG55" s="670">
        <f t="shared" si="442"/>
        <v>0</v>
      </c>
      <c r="DH55" s="670">
        <f t="shared" si="225"/>
        <v>0</v>
      </c>
      <c r="DI55" s="670">
        <f t="shared" si="225"/>
        <v>0</v>
      </c>
      <c r="DJ55" s="670">
        <f t="shared" si="226"/>
        <v>0</v>
      </c>
      <c r="DK55" s="670">
        <f t="shared" si="495"/>
        <v>0</v>
      </c>
      <c r="DL55" s="670">
        <f t="shared" si="496"/>
        <v>0</v>
      </c>
      <c r="DM55" s="670">
        <f t="shared" si="497"/>
        <v>0</v>
      </c>
      <c r="DN55" s="670">
        <f t="shared" si="498"/>
        <v>0</v>
      </c>
      <c r="DO55" s="670">
        <f t="shared" si="499"/>
        <v>0</v>
      </c>
      <c r="DP55" s="670">
        <f t="shared" si="232"/>
        <v>0</v>
      </c>
      <c r="DQ55" s="670">
        <f t="shared" si="233"/>
        <v>0</v>
      </c>
      <c r="DR55" s="670">
        <f t="shared" si="234"/>
        <v>0</v>
      </c>
      <c r="DS55" s="670">
        <f t="shared" si="235"/>
        <v>0</v>
      </c>
      <c r="DT55" s="670">
        <f t="shared" si="236"/>
        <v>0</v>
      </c>
      <c r="DU55" s="670">
        <f t="shared" si="237"/>
        <v>0</v>
      </c>
      <c r="DV55" s="670">
        <f t="shared" si="238"/>
        <v>0</v>
      </c>
      <c r="DW55" s="670">
        <f t="shared" si="239"/>
        <v>0</v>
      </c>
      <c r="DX55" s="670">
        <f t="shared" si="240"/>
        <v>0</v>
      </c>
      <c r="DY55" s="670">
        <f t="shared" si="241"/>
        <v>0</v>
      </c>
      <c r="DZ55" s="670">
        <f t="shared" si="242"/>
        <v>0</v>
      </c>
      <c r="EA55" s="670">
        <f t="shared" si="243"/>
        <v>0</v>
      </c>
      <c r="EB55" s="680">
        <f t="shared" si="244"/>
        <v>0</v>
      </c>
    </row>
    <row r="56" spans="1:132" s="669" customFormat="1" ht="13.8" thickBot="1" x14ac:dyDescent="0.3">
      <c r="B56" s="594" t="str">
        <f>'Gårdens info'!C111</f>
        <v>trädgårdsproduktion maskin X</v>
      </c>
      <c r="C56" s="670"/>
      <c r="E56" s="596">
        <f>'Gårdens info'!J109</f>
        <v>2020</v>
      </c>
      <c r="H56" s="671">
        <v>15</v>
      </c>
      <c r="I56" s="669">
        <f>'Gårdens info'!D109</f>
        <v>17000</v>
      </c>
      <c r="J56" s="671">
        <v>0</v>
      </c>
      <c r="K56" s="672">
        <v>0.03</v>
      </c>
      <c r="L56" s="673">
        <v>0</v>
      </c>
      <c r="M56" s="742">
        <f>IF('Gårdens info'!$D$9&gt;0,('Gårdens info'!$D$9/('Gårdens info'!$D$9)),0)</f>
        <v>1</v>
      </c>
      <c r="N56" s="673">
        <v>0</v>
      </c>
      <c r="O56" s="673">
        <v>0</v>
      </c>
      <c r="P56" s="673">
        <v>0</v>
      </c>
      <c r="Q56" s="673">
        <v>0</v>
      </c>
      <c r="R56" s="673">
        <v>0</v>
      </c>
      <c r="S56" s="673">
        <v>0</v>
      </c>
      <c r="T56" s="673">
        <v>0</v>
      </c>
      <c r="U56" s="673">
        <v>0</v>
      </c>
      <c r="V56" s="673">
        <v>0</v>
      </c>
      <c r="W56" s="673">
        <v>0</v>
      </c>
      <c r="X56" s="673">
        <v>0</v>
      </c>
      <c r="Y56" s="673">
        <v>0</v>
      </c>
      <c r="Z56" s="673">
        <v>0</v>
      </c>
      <c r="AA56" s="673">
        <v>0</v>
      </c>
      <c r="AB56" s="673">
        <v>0</v>
      </c>
      <c r="AC56" s="673">
        <v>0</v>
      </c>
      <c r="AD56" s="673">
        <v>0</v>
      </c>
      <c r="AE56" s="673">
        <v>0</v>
      </c>
      <c r="AF56" s="673">
        <v>0</v>
      </c>
      <c r="AG56" s="673">
        <v>0</v>
      </c>
      <c r="AH56" s="673">
        <v>0</v>
      </c>
      <c r="AI56" s="673">
        <v>0</v>
      </c>
      <c r="AJ56" s="676">
        <f t="shared" si="156"/>
        <v>1</v>
      </c>
      <c r="AK56" s="670">
        <f t="shared" si="157"/>
        <v>0</v>
      </c>
      <c r="AL56" s="670">
        <f t="shared" si="443"/>
        <v>1133.3333333333333</v>
      </c>
      <c r="AM56" s="670">
        <f t="shared" si="464"/>
        <v>0</v>
      </c>
      <c r="AN56" s="670">
        <f t="shared" si="465"/>
        <v>0</v>
      </c>
      <c r="AO56" s="670">
        <f t="shared" si="465"/>
        <v>0</v>
      </c>
      <c r="AP56" s="670">
        <f t="shared" si="466"/>
        <v>0</v>
      </c>
      <c r="AQ56" s="670">
        <f t="shared" si="467"/>
        <v>0</v>
      </c>
      <c r="AR56" s="670">
        <f t="shared" si="468"/>
        <v>0</v>
      </c>
      <c r="AS56" s="670">
        <f t="shared" si="469"/>
        <v>0</v>
      </c>
      <c r="AT56" s="670">
        <f t="shared" si="470"/>
        <v>0</v>
      </c>
      <c r="AU56" s="670">
        <f t="shared" si="471"/>
        <v>0</v>
      </c>
      <c r="AV56" s="670">
        <f t="shared" si="472"/>
        <v>0</v>
      </c>
      <c r="AW56" s="670">
        <f t="shared" si="473"/>
        <v>0</v>
      </c>
      <c r="AX56" s="670">
        <f t="shared" si="474"/>
        <v>0</v>
      </c>
      <c r="AY56" s="670">
        <f t="shared" si="475"/>
        <v>0</v>
      </c>
      <c r="AZ56" s="670">
        <f t="shared" si="476"/>
        <v>0</v>
      </c>
      <c r="BA56" s="670">
        <f t="shared" si="477"/>
        <v>0</v>
      </c>
      <c r="BB56" s="670">
        <f t="shared" si="478"/>
        <v>0</v>
      </c>
      <c r="BC56" s="670">
        <f t="shared" si="479"/>
        <v>0</v>
      </c>
      <c r="BD56" s="670">
        <f t="shared" si="480"/>
        <v>0</v>
      </c>
      <c r="BE56" s="670">
        <f t="shared" si="481"/>
        <v>0</v>
      </c>
      <c r="BF56" s="670">
        <f t="shared" si="482"/>
        <v>0</v>
      </c>
      <c r="BG56" s="670">
        <f t="shared" si="483"/>
        <v>0</v>
      </c>
      <c r="BH56" s="680">
        <f t="shared" si="484"/>
        <v>0</v>
      </c>
      <c r="BI56" s="675">
        <f t="shared" si="179"/>
        <v>0</v>
      </c>
      <c r="BJ56" s="670">
        <f t="shared" si="437"/>
        <v>425</v>
      </c>
      <c r="BK56" s="670">
        <f t="shared" si="438"/>
        <v>0</v>
      </c>
      <c r="BL56" s="670">
        <f t="shared" si="181"/>
        <v>0</v>
      </c>
      <c r="BM56" s="670">
        <f t="shared" si="181"/>
        <v>0</v>
      </c>
      <c r="BN56" s="670">
        <f t="shared" si="182"/>
        <v>0</v>
      </c>
      <c r="BO56" s="670">
        <f t="shared" si="485"/>
        <v>0</v>
      </c>
      <c r="BP56" s="670">
        <f t="shared" si="486"/>
        <v>0</v>
      </c>
      <c r="BQ56" s="670">
        <f t="shared" si="487"/>
        <v>0</v>
      </c>
      <c r="BR56" s="670">
        <f t="shared" si="488"/>
        <v>0</v>
      </c>
      <c r="BS56" s="670">
        <f t="shared" si="489"/>
        <v>0</v>
      </c>
      <c r="BT56" s="670">
        <f t="shared" si="188"/>
        <v>0</v>
      </c>
      <c r="BU56" s="670">
        <f t="shared" si="189"/>
        <v>0</v>
      </c>
      <c r="BV56" s="670">
        <f t="shared" si="190"/>
        <v>0</v>
      </c>
      <c r="BW56" s="670">
        <f t="shared" si="191"/>
        <v>0</v>
      </c>
      <c r="BX56" s="670">
        <f t="shared" si="192"/>
        <v>0</v>
      </c>
      <c r="BY56" s="670">
        <f t="shared" si="193"/>
        <v>0</v>
      </c>
      <c r="BZ56" s="670">
        <f t="shared" si="194"/>
        <v>0</v>
      </c>
      <c r="CA56" s="670">
        <f t="shared" si="195"/>
        <v>0</v>
      </c>
      <c r="CB56" s="670">
        <f t="shared" si="196"/>
        <v>0</v>
      </c>
      <c r="CC56" s="670">
        <f t="shared" si="197"/>
        <v>0</v>
      </c>
      <c r="CD56" s="670">
        <f t="shared" si="198"/>
        <v>0</v>
      </c>
      <c r="CE56" s="670">
        <f t="shared" si="199"/>
        <v>0</v>
      </c>
      <c r="CF56" s="680">
        <f t="shared" si="200"/>
        <v>0</v>
      </c>
      <c r="CG56" s="675">
        <f t="shared" si="201"/>
        <v>0</v>
      </c>
      <c r="CH56" s="670">
        <f t="shared" si="439"/>
        <v>510</v>
      </c>
      <c r="CI56" s="670">
        <f t="shared" si="440"/>
        <v>0</v>
      </c>
      <c r="CJ56" s="670">
        <f t="shared" si="203"/>
        <v>0</v>
      </c>
      <c r="CK56" s="670">
        <f t="shared" si="203"/>
        <v>0</v>
      </c>
      <c r="CL56" s="670">
        <f t="shared" si="204"/>
        <v>0</v>
      </c>
      <c r="CM56" s="670">
        <f t="shared" si="490"/>
        <v>0</v>
      </c>
      <c r="CN56" s="670">
        <f t="shared" si="491"/>
        <v>0</v>
      </c>
      <c r="CO56" s="670">
        <f t="shared" si="492"/>
        <v>0</v>
      </c>
      <c r="CP56" s="670">
        <f t="shared" si="493"/>
        <v>0</v>
      </c>
      <c r="CQ56" s="670">
        <f t="shared" si="494"/>
        <v>0</v>
      </c>
      <c r="CR56" s="670">
        <f t="shared" si="210"/>
        <v>0</v>
      </c>
      <c r="CS56" s="670">
        <f t="shared" si="211"/>
        <v>0</v>
      </c>
      <c r="CT56" s="670">
        <f t="shared" si="212"/>
        <v>0</v>
      </c>
      <c r="CU56" s="670">
        <f t="shared" si="213"/>
        <v>0</v>
      </c>
      <c r="CV56" s="670">
        <f t="shared" si="214"/>
        <v>0</v>
      </c>
      <c r="CW56" s="670">
        <f t="shared" si="215"/>
        <v>0</v>
      </c>
      <c r="CX56" s="670">
        <f t="shared" si="216"/>
        <v>0</v>
      </c>
      <c r="CY56" s="670">
        <f t="shared" si="217"/>
        <v>0</v>
      </c>
      <c r="CZ56" s="670">
        <f t="shared" si="218"/>
        <v>0</v>
      </c>
      <c r="DA56" s="670">
        <f t="shared" si="219"/>
        <v>0</v>
      </c>
      <c r="DB56" s="670">
        <f t="shared" si="220"/>
        <v>0</v>
      </c>
      <c r="DC56" s="670">
        <f t="shared" si="221"/>
        <v>0</v>
      </c>
      <c r="DD56" s="680">
        <f t="shared" si="222"/>
        <v>0</v>
      </c>
      <c r="DE56" s="670">
        <f t="shared" si="223"/>
        <v>0</v>
      </c>
      <c r="DF56" s="670">
        <f t="shared" si="441"/>
        <v>34</v>
      </c>
      <c r="DG56" s="670">
        <f t="shared" si="442"/>
        <v>0</v>
      </c>
      <c r="DH56" s="670">
        <f t="shared" si="225"/>
        <v>0</v>
      </c>
      <c r="DI56" s="670">
        <f t="shared" si="225"/>
        <v>0</v>
      </c>
      <c r="DJ56" s="670">
        <f t="shared" si="226"/>
        <v>0</v>
      </c>
      <c r="DK56" s="670">
        <f t="shared" si="495"/>
        <v>0</v>
      </c>
      <c r="DL56" s="670">
        <f t="shared" si="496"/>
        <v>0</v>
      </c>
      <c r="DM56" s="670">
        <f t="shared" si="497"/>
        <v>0</v>
      </c>
      <c r="DN56" s="670">
        <f t="shared" si="498"/>
        <v>0</v>
      </c>
      <c r="DO56" s="670">
        <f t="shared" si="499"/>
        <v>0</v>
      </c>
      <c r="DP56" s="670">
        <f t="shared" si="232"/>
        <v>0</v>
      </c>
      <c r="DQ56" s="670">
        <f t="shared" si="233"/>
        <v>0</v>
      </c>
      <c r="DR56" s="670">
        <f t="shared" si="234"/>
        <v>0</v>
      </c>
      <c r="DS56" s="670">
        <f t="shared" si="235"/>
        <v>0</v>
      </c>
      <c r="DT56" s="670">
        <f t="shared" si="236"/>
        <v>0</v>
      </c>
      <c r="DU56" s="670">
        <f t="shared" si="237"/>
        <v>0</v>
      </c>
      <c r="DV56" s="670">
        <f t="shared" si="238"/>
        <v>0</v>
      </c>
      <c r="DW56" s="670">
        <f t="shared" si="239"/>
        <v>0</v>
      </c>
      <c r="DX56" s="670">
        <f t="shared" si="240"/>
        <v>0</v>
      </c>
      <c r="DY56" s="670">
        <f t="shared" si="241"/>
        <v>0</v>
      </c>
      <c r="DZ56" s="670">
        <f t="shared" si="242"/>
        <v>0</v>
      </c>
      <c r="EA56" s="670">
        <f t="shared" si="243"/>
        <v>0</v>
      </c>
      <c r="EB56" s="680">
        <f t="shared" si="244"/>
        <v>0</v>
      </c>
    </row>
    <row r="57" spans="1:132" s="594" customFormat="1" ht="13.8" thickBot="1" x14ac:dyDescent="0.3">
      <c r="B57" s="13" t="str">
        <f>'Gårdens info'!C112</f>
        <v>maskin X</v>
      </c>
      <c r="C57" s="596"/>
      <c r="E57" s="33">
        <f>'Gårdens info'!J110</f>
        <v>0</v>
      </c>
      <c r="H57" s="597">
        <v>15</v>
      </c>
      <c r="I57" s="594">
        <f>'Gårdens info'!D110</f>
        <v>0</v>
      </c>
      <c r="J57" s="597">
        <v>0</v>
      </c>
      <c r="K57" s="598">
        <v>0.03</v>
      </c>
      <c r="L57" s="600">
        <f>'Gårdens info'!$D$12/('Gårdens info'!$D$12+'Gårdens info'!$D$13+'Gårdens info'!$D$14+'Gårdens info'!$D$16+'Gårdens info'!$D$17+'Gårdens info'!$D$18+'Gårdens info'!$D$19+'Gårdens info'!$D$20+'Gårdens info'!$D$21+'Gårdens info'!$D$28+'Gårdens info'!$D$29+'Gårdens info'!$D$30+'Gårdens info'!$D$31+'Gårdens info'!$D$32+'Gårdens info'!$D$33+'Gårdens info'!$D$34)</f>
        <v>0.3125</v>
      </c>
      <c r="M57" s="600">
        <v>0</v>
      </c>
      <c r="N57"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57"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57"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57"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57"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57"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57"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57"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57"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57"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57"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57"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57"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57"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57"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57"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57" s="600">
        <v>0</v>
      </c>
      <c r="AE57" s="600">
        <v>0</v>
      </c>
      <c r="AF57" s="600">
        <v>0</v>
      </c>
      <c r="AG57" s="600">
        <v>0</v>
      </c>
      <c r="AH57" s="600">
        <v>0</v>
      </c>
      <c r="AI57" s="600">
        <v>0</v>
      </c>
      <c r="AJ57" s="601">
        <f t="shared" si="156"/>
        <v>1.0422297297297296</v>
      </c>
      <c r="AK57" s="1">
        <f t="shared" si="157"/>
        <v>0</v>
      </c>
      <c r="AL57" s="1">
        <f t="shared" si="443"/>
        <v>0</v>
      </c>
      <c r="AM57" s="1">
        <f>IF((($C$7-$E57)&lt;=$H57),(($I57-$J57)/$H57*N57),0)</f>
        <v>0</v>
      </c>
      <c r="AN57" s="1">
        <f t="shared" si="159"/>
        <v>0</v>
      </c>
      <c r="AO57" s="1">
        <f t="shared" si="159"/>
        <v>0</v>
      </c>
      <c r="AP57" s="1">
        <f t="shared" si="160"/>
        <v>0</v>
      </c>
      <c r="AQ57" s="1">
        <f t="shared" ref="AQ57:AU60" si="500">IF((($C$7-$E57)&lt;=$H57),(($I57-$J57)/$H57*R57),0)</f>
        <v>0</v>
      </c>
      <c r="AR57" s="1">
        <f t="shared" si="500"/>
        <v>0</v>
      </c>
      <c r="AS57" s="1">
        <f t="shared" si="500"/>
        <v>0</v>
      </c>
      <c r="AT57" s="1">
        <f t="shared" si="500"/>
        <v>0</v>
      </c>
      <c r="AU57" s="1">
        <f t="shared" si="500"/>
        <v>0</v>
      </c>
      <c r="AV57" s="1">
        <f t="shared" si="166"/>
        <v>0</v>
      </c>
      <c r="AW57" s="1">
        <f t="shared" si="167"/>
        <v>0</v>
      </c>
      <c r="AX57" s="1">
        <f t="shared" si="168"/>
        <v>0</v>
      </c>
      <c r="AY57" s="1">
        <f t="shared" si="169"/>
        <v>0</v>
      </c>
      <c r="AZ57" s="1">
        <f t="shared" si="170"/>
        <v>0</v>
      </c>
      <c r="BA57" s="1">
        <f t="shared" si="171"/>
        <v>0</v>
      </c>
      <c r="BB57" s="1">
        <f t="shared" si="172"/>
        <v>0</v>
      </c>
      <c r="BC57" s="1">
        <f t="shared" si="173"/>
        <v>0</v>
      </c>
      <c r="BD57" s="1">
        <f t="shared" si="174"/>
        <v>0</v>
      </c>
      <c r="BE57" s="1">
        <f t="shared" si="175"/>
        <v>0</v>
      </c>
      <c r="BF57" s="1">
        <f t="shared" si="176"/>
        <v>0</v>
      </c>
      <c r="BG57" s="1">
        <f t="shared" si="177"/>
        <v>0</v>
      </c>
      <c r="BH57" s="24">
        <f t="shared" si="178"/>
        <v>0</v>
      </c>
      <c r="BI57" s="1">
        <f>IF(($C$7-$E57&lt;=$H57),(($I57+$J57)/2*$C$8*L57),0)</f>
        <v>0</v>
      </c>
      <c r="BJ57" s="1">
        <f t="shared" si="437"/>
        <v>0</v>
      </c>
      <c r="BK57" s="1">
        <f t="shared" si="438"/>
        <v>0</v>
      </c>
      <c r="BL57" s="1">
        <f t="shared" si="181"/>
        <v>0</v>
      </c>
      <c r="BM57" s="1">
        <f t="shared" si="181"/>
        <v>0</v>
      </c>
      <c r="BN57" s="1">
        <f t="shared" si="182"/>
        <v>0</v>
      </c>
      <c r="BO57" s="1">
        <f t="shared" ref="BO57:BS60" si="501">IF(($C$7-$E57&lt;=$H57),(($I57+$J57)/2*$C$8*R57),0)</f>
        <v>0</v>
      </c>
      <c r="BP57" s="1">
        <f t="shared" si="501"/>
        <v>0</v>
      </c>
      <c r="BQ57" s="1">
        <f t="shared" si="501"/>
        <v>0</v>
      </c>
      <c r="BR57" s="1">
        <f t="shared" si="501"/>
        <v>0</v>
      </c>
      <c r="BS57" s="1">
        <f t="shared" si="501"/>
        <v>0</v>
      </c>
      <c r="BT57" s="1">
        <f t="shared" si="188"/>
        <v>0</v>
      </c>
      <c r="BU57" s="1">
        <f t="shared" si="189"/>
        <v>0</v>
      </c>
      <c r="BV57" s="1">
        <f t="shared" si="190"/>
        <v>0</v>
      </c>
      <c r="BW57" s="1">
        <f t="shared" si="191"/>
        <v>0</v>
      </c>
      <c r="BX57" s="1">
        <f t="shared" si="192"/>
        <v>0</v>
      </c>
      <c r="BY57" s="1">
        <f t="shared" si="193"/>
        <v>0</v>
      </c>
      <c r="BZ57" s="1">
        <f t="shared" si="194"/>
        <v>0</v>
      </c>
      <c r="CA57" s="1">
        <f t="shared" si="195"/>
        <v>0</v>
      </c>
      <c r="CB57" s="1">
        <f t="shared" si="196"/>
        <v>0</v>
      </c>
      <c r="CC57" s="1">
        <f t="shared" si="197"/>
        <v>0</v>
      </c>
      <c r="CD57" s="1">
        <f t="shared" si="198"/>
        <v>0</v>
      </c>
      <c r="CE57" s="1">
        <f t="shared" si="199"/>
        <v>0</v>
      </c>
      <c r="CF57" s="24">
        <f t="shared" si="200"/>
        <v>0</v>
      </c>
      <c r="CG57" s="1">
        <f>$I57*$K57*L57</f>
        <v>0</v>
      </c>
      <c r="CH57" s="1">
        <f t="shared" si="439"/>
        <v>0</v>
      </c>
      <c r="CI57" s="1">
        <f t="shared" si="440"/>
        <v>0</v>
      </c>
      <c r="CJ57" s="1">
        <f t="shared" si="203"/>
        <v>0</v>
      </c>
      <c r="CK57" s="1">
        <f t="shared" si="203"/>
        <v>0</v>
      </c>
      <c r="CL57" s="1">
        <f t="shared" si="204"/>
        <v>0</v>
      </c>
      <c r="CM57" s="1">
        <f t="shared" ref="CM57:CQ60" si="502">$I57*$K57*R57</f>
        <v>0</v>
      </c>
      <c r="CN57" s="1">
        <f t="shared" si="502"/>
        <v>0</v>
      </c>
      <c r="CO57" s="1">
        <f t="shared" si="502"/>
        <v>0</v>
      </c>
      <c r="CP57" s="1">
        <f t="shared" si="502"/>
        <v>0</v>
      </c>
      <c r="CQ57" s="1">
        <f t="shared" si="502"/>
        <v>0</v>
      </c>
      <c r="CR57" s="1">
        <f t="shared" si="210"/>
        <v>0</v>
      </c>
      <c r="CS57" s="1">
        <f t="shared" si="211"/>
        <v>0</v>
      </c>
      <c r="CT57" s="1">
        <f t="shared" si="212"/>
        <v>0</v>
      </c>
      <c r="CU57" s="1">
        <f t="shared" si="213"/>
        <v>0</v>
      </c>
      <c r="CV57" s="1">
        <f t="shared" si="214"/>
        <v>0</v>
      </c>
      <c r="CW57" s="1">
        <f t="shared" si="215"/>
        <v>0</v>
      </c>
      <c r="CX57" s="1">
        <f t="shared" si="216"/>
        <v>0</v>
      </c>
      <c r="CY57" s="1">
        <f t="shared" si="217"/>
        <v>0</v>
      </c>
      <c r="CZ57" s="1">
        <f t="shared" si="218"/>
        <v>0</v>
      </c>
      <c r="DA57" s="1">
        <f t="shared" si="219"/>
        <v>0</v>
      </c>
      <c r="DB57" s="1">
        <f t="shared" si="220"/>
        <v>0</v>
      </c>
      <c r="DC57" s="1">
        <f t="shared" si="221"/>
        <v>0</v>
      </c>
      <c r="DD57" s="24">
        <f t="shared" si="222"/>
        <v>0</v>
      </c>
      <c r="DE57" s="1">
        <f>$I57*$C$9*L57</f>
        <v>0</v>
      </c>
      <c r="DF57" s="1">
        <f t="shared" si="441"/>
        <v>0</v>
      </c>
      <c r="DG57" s="1">
        <f t="shared" si="442"/>
        <v>0</v>
      </c>
      <c r="DH57" s="1">
        <f t="shared" si="225"/>
        <v>0</v>
      </c>
      <c r="DI57" s="1">
        <f t="shared" si="225"/>
        <v>0</v>
      </c>
      <c r="DJ57" s="1">
        <f t="shared" si="226"/>
        <v>0</v>
      </c>
      <c r="DK57" s="1">
        <f t="shared" ref="DK57:DO60" si="503">$I57*$C$9*R57</f>
        <v>0</v>
      </c>
      <c r="DL57" s="1">
        <f t="shared" si="503"/>
        <v>0</v>
      </c>
      <c r="DM57" s="1">
        <f t="shared" si="503"/>
        <v>0</v>
      </c>
      <c r="DN57" s="1">
        <f t="shared" si="503"/>
        <v>0</v>
      </c>
      <c r="DO57" s="1">
        <f t="shared" si="503"/>
        <v>0</v>
      </c>
      <c r="DP57" s="1">
        <f t="shared" si="232"/>
        <v>0</v>
      </c>
      <c r="DQ57" s="1">
        <f t="shared" si="233"/>
        <v>0</v>
      </c>
      <c r="DR57" s="1">
        <f t="shared" si="234"/>
        <v>0</v>
      </c>
      <c r="DS57" s="1">
        <f t="shared" si="235"/>
        <v>0</v>
      </c>
      <c r="DT57" s="1">
        <f t="shared" si="236"/>
        <v>0</v>
      </c>
      <c r="DU57" s="1">
        <f t="shared" si="237"/>
        <v>0</v>
      </c>
      <c r="DV57" s="1">
        <f t="shared" si="238"/>
        <v>0</v>
      </c>
      <c r="DW57" s="1">
        <f t="shared" si="239"/>
        <v>0</v>
      </c>
      <c r="DX57" s="1">
        <f t="shared" si="240"/>
        <v>0</v>
      </c>
      <c r="DY57" s="1">
        <f t="shared" si="241"/>
        <v>0</v>
      </c>
      <c r="DZ57" s="1">
        <f t="shared" si="242"/>
        <v>0</v>
      </c>
      <c r="EA57" s="1">
        <f t="shared" si="243"/>
        <v>0</v>
      </c>
      <c r="EB57" s="24">
        <f t="shared" si="244"/>
        <v>0</v>
      </c>
    </row>
    <row r="58" spans="1:132" s="594" customFormat="1" ht="13.8" thickBot="1" x14ac:dyDescent="0.3">
      <c r="B58" s="13" t="str">
        <f>'Gårdens info'!C113</f>
        <v>maskin X</v>
      </c>
      <c r="C58" s="596"/>
      <c r="E58" s="33">
        <f>'Gårdens info'!J111</f>
        <v>0</v>
      </c>
      <c r="H58" s="597">
        <v>15</v>
      </c>
      <c r="I58" s="594">
        <f>'Gårdens info'!D111</f>
        <v>0</v>
      </c>
      <c r="J58" s="597">
        <f t="shared" ref="J58" si="504">C58*0.1</f>
        <v>0</v>
      </c>
      <c r="K58" s="598">
        <v>0.03</v>
      </c>
      <c r="L58" s="600">
        <f>'Gårdens info'!$D$12/('Gårdens info'!$D$12+'Gårdens info'!$D$13+'Gårdens info'!$D$14+'Gårdens info'!$D$16+'Gårdens info'!$D$17+'Gårdens info'!$D$18+'Gårdens info'!$D$19+'Gårdens info'!$D$20+'Gårdens info'!$D$21+'Gårdens info'!$D$28+'Gårdens info'!$D$29+'Gårdens info'!$D$30+'Gårdens info'!$D$31+'Gårdens info'!$D$32+'Gårdens info'!$D$33+'Gårdens info'!$D$34)</f>
        <v>0.3125</v>
      </c>
      <c r="M58" s="600">
        <v>0</v>
      </c>
      <c r="N58"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58"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58"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58"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58"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58"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58"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58"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58"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58"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58"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58"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58"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58"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58"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58"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58" s="600">
        <v>0</v>
      </c>
      <c r="AE58" s="600">
        <v>0</v>
      </c>
      <c r="AF58" s="600">
        <v>0</v>
      </c>
      <c r="AG58" s="600">
        <v>0</v>
      </c>
      <c r="AH58" s="600">
        <v>0</v>
      </c>
      <c r="AI58" s="600">
        <v>0</v>
      </c>
      <c r="AJ58" s="601">
        <f t="shared" si="156"/>
        <v>1.0422297297297296</v>
      </c>
      <c r="AK58" s="1">
        <f t="shared" si="157"/>
        <v>0</v>
      </c>
      <c r="AL58" s="1">
        <f t="shared" si="443"/>
        <v>0</v>
      </c>
      <c r="AM58" s="1">
        <f>IF((($C$7-$E58)&lt;=$H58),(($I58-$J58)/$H58*N58),0)</f>
        <v>0</v>
      </c>
      <c r="AN58" s="1">
        <f t="shared" si="159"/>
        <v>0</v>
      </c>
      <c r="AO58" s="1">
        <f t="shared" si="159"/>
        <v>0</v>
      </c>
      <c r="AP58" s="1">
        <f t="shared" si="160"/>
        <v>0</v>
      </c>
      <c r="AQ58" s="1">
        <f t="shared" si="500"/>
        <v>0</v>
      </c>
      <c r="AR58" s="1">
        <f t="shared" si="500"/>
        <v>0</v>
      </c>
      <c r="AS58" s="1">
        <f t="shared" si="500"/>
        <v>0</v>
      </c>
      <c r="AT58" s="1">
        <f t="shared" si="500"/>
        <v>0</v>
      </c>
      <c r="AU58" s="1">
        <f t="shared" si="500"/>
        <v>0</v>
      </c>
      <c r="AV58" s="1">
        <f t="shared" si="166"/>
        <v>0</v>
      </c>
      <c r="AW58" s="1">
        <f t="shared" si="167"/>
        <v>0</v>
      </c>
      <c r="AX58" s="1">
        <f t="shared" si="168"/>
        <v>0</v>
      </c>
      <c r="AY58" s="1">
        <f t="shared" si="169"/>
        <v>0</v>
      </c>
      <c r="AZ58" s="1">
        <f t="shared" si="170"/>
        <v>0</v>
      </c>
      <c r="BA58" s="1">
        <f t="shared" si="171"/>
        <v>0</v>
      </c>
      <c r="BB58" s="1">
        <f t="shared" si="172"/>
        <v>0</v>
      </c>
      <c r="BC58" s="1">
        <f t="shared" si="173"/>
        <v>0</v>
      </c>
      <c r="BD58" s="1">
        <f t="shared" si="174"/>
        <v>0</v>
      </c>
      <c r="BE58" s="1">
        <f t="shared" si="175"/>
        <v>0</v>
      </c>
      <c r="BF58" s="1">
        <f t="shared" si="176"/>
        <v>0</v>
      </c>
      <c r="BG58" s="1">
        <f t="shared" si="177"/>
        <v>0</v>
      </c>
      <c r="BH58" s="24">
        <f t="shared" si="178"/>
        <v>0</v>
      </c>
      <c r="BI58" s="1">
        <f>IF(($C$7-$E58&lt;=$H58),(($I58+$J58)/2*$C$8*L58),0)</f>
        <v>0</v>
      </c>
      <c r="BJ58" s="1">
        <f t="shared" si="437"/>
        <v>0</v>
      </c>
      <c r="BK58" s="1">
        <f t="shared" si="438"/>
        <v>0</v>
      </c>
      <c r="BL58" s="1">
        <f t="shared" si="181"/>
        <v>0</v>
      </c>
      <c r="BM58" s="1">
        <f t="shared" si="181"/>
        <v>0</v>
      </c>
      <c r="BN58" s="1">
        <f t="shared" si="182"/>
        <v>0</v>
      </c>
      <c r="BO58" s="1">
        <f t="shared" si="501"/>
        <v>0</v>
      </c>
      <c r="BP58" s="1">
        <f t="shared" si="501"/>
        <v>0</v>
      </c>
      <c r="BQ58" s="1">
        <f t="shared" si="501"/>
        <v>0</v>
      </c>
      <c r="BR58" s="1">
        <f t="shared" si="501"/>
        <v>0</v>
      </c>
      <c r="BS58" s="1">
        <f t="shared" si="501"/>
        <v>0</v>
      </c>
      <c r="BT58" s="1">
        <f t="shared" si="188"/>
        <v>0</v>
      </c>
      <c r="BU58" s="1">
        <f t="shared" si="189"/>
        <v>0</v>
      </c>
      <c r="BV58" s="1">
        <f t="shared" si="190"/>
        <v>0</v>
      </c>
      <c r="BW58" s="1">
        <f t="shared" si="191"/>
        <v>0</v>
      </c>
      <c r="BX58" s="1">
        <f t="shared" si="192"/>
        <v>0</v>
      </c>
      <c r="BY58" s="1">
        <f t="shared" si="193"/>
        <v>0</v>
      </c>
      <c r="BZ58" s="1">
        <f t="shared" si="194"/>
        <v>0</v>
      </c>
      <c r="CA58" s="1">
        <f t="shared" si="195"/>
        <v>0</v>
      </c>
      <c r="CB58" s="1">
        <f t="shared" si="196"/>
        <v>0</v>
      </c>
      <c r="CC58" s="1">
        <f t="shared" si="197"/>
        <v>0</v>
      </c>
      <c r="CD58" s="1">
        <f t="shared" si="198"/>
        <v>0</v>
      </c>
      <c r="CE58" s="1">
        <f t="shared" si="199"/>
        <v>0</v>
      </c>
      <c r="CF58" s="24">
        <f t="shared" si="200"/>
        <v>0</v>
      </c>
      <c r="CG58" s="1">
        <f>$I58*$K58*L58</f>
        <v>0</v>
      </c>
      <c r="CH58" s="1">
        <f t="shared" si="439"/>
        <v>0</v>
      </c>
      <c r="CI58" s="1">
        <f t="shared" si="440"/>
        <v>0</v>
      </c>
      <c r="CJ58" s="1">
        <f t="shared" si="203"/>
        <v>0</v>
      </c>
      <c r="CK58" s="1">
        <f t="shared" si="203"/>
        <v>0</v>
      </c>
      <c r="CL58" s="1">
        <f t="shared" si="204"/>
        <v>0</v>
      </c>
      <c r="CM58" s="1">
        <f t="shared" si="502"/>
        <v>0</v>
      </c>
      <c r="CN58" s="1">
        <f t="shared" si="502"/>
        <v>0</v>
      </c>
      <c r="CO58" s="1">
        <f t="shared" si="502"/>
        <v>0</v>
      </c>
      <c r="CP58" s="1">
        <f t="shared" si="502"/>
        <v>0</v>
      </c>
      <c r="CQ58" s="1">
        <f t="shared" si="502"/>
        <v>0</v>
      </c>
      <c r="CR58" s="1">
        <f t="shared" si="210"/>
        <v>0</v>
      </c>
      <c r="CS58" s="1">
        <f t="shared" si="211"/>
        <v>0</v>
      </c>
      <c r="CT58" s="1">
        <f t="shared" si="212"/>
        <v>0</v>
      </c>
      <c r="CU58" s="1">
        <f t="shared" si="213"/>
        <v>0</v>
      </c>
      <c r="CV58" s="1">
        <f t="shared" si="214"/>
        <v>0</v>
      </c>
      <c r="CW58" s="1">
        <f t="shared" si="215"/>
        <v>0</v>
      </c>
      <c r="CX58" s="1">
        <f t="shared" si="216"/>
        <v>0</v>
      </c>
      <c r="CY58" s="1">
        <f t="shared" si="217"/>
        <v>0</v>
      </c>
      <c r="CZ58" s="1">
        <f t="shared" si="218"/>
        <v>0</v>
      </c>
      <c r="DA58" s="1">
        <f t="shared" si="219"/>
        <v>0</v>
      </c>
      <c r="DB58" s="1">
        <f t="shared" si="220"/>
        <v>0</v>
      </c>
      <c r="DC58" s="1">
        <f t="shared" si="221"/>
        <v>0</v>
      </c>
      <c r="DD58" s="24">
        <f t="shared" si="222"/>
        <v>0</v>
      </c>
      <c r="DE58" s="1">
        <f>$I58*$C$9*L58</f>
        <v>0</v>
      </c>
      <c r="DF58" s="1">
        <f t="shared" si="441"/>
        <v>0</v>
      </c>
      <c r="DG58" s="1">
        <f t="shared" si="442"/>
        <v>0</v>
      </c>
      <c r="DH58" s="1">
        <f t="shared" si="225"/>
        <v>0</v>
      </c>
      <c r="DI58" s="1">
        <f t="shared" si="225"/>
        <v>0</v>
      </c>
      <c r="DJ58" s="1">
        <f t="shared" si="226"/>
        <v>0</v>
      </c>
      <c r="DK58" s="1">
        <f t="shared" si="503"/>
        <v>0</v>
      </c>
      <c r="DL58" s="1">
        <f t="shared" si="503"/>
        <v>0</v>
      </c>
      <c r="DM58" s="1">
        <f t="shared" si="503"/>
        <v>0</v>
      </c>
      <c r="DN58" s="1">
        <f t="shared" si="503"/>
        <v>0</v>
      </c>
      <c r="DO58" s="1">
        <f t="shared" si="503"/>
        <v>0</v>
      </c>
      <c r="DP58" s="1">
        <f t="shared" si="232"/>
        <v>0</v>
      </c>
      <c r="DQ58" s="1">
        <f t="shared" si="233"/>
        <v>0</v>
      </c>
      <c r="DR58" s="1">
        <f t="shared" si="234"/>
        <v>0</v>
      </c>
      <c r="DS58" s="1">
        <f t="shared" si="235"/>
        <v>0</v>
      </c>
      <c r="DT58" s="1">
        <f t="shared" si="236"/>
        <v>0</v>
      </c>
      <c r="DU58" s="1">
        <f t="shared" si="237"/>
        <v>0</v>
      </c>
      <c r="DV58" s="1">
        <f t="shared" si="238"/>
        <v>0</v>
      </c>
      <c r="DW58" s="1">
        <f t="shared" si="239"/>
        <v>0</v>
      </c>
      <c r="DX58" s="1">
        <f t="shared" si="240"/>
        <v>0</v>
      </c>
      <c r="DY58" s="1">
        <f t="shared" si="241"/>
        <v>0</v>
      </c>
      <c r="DZ58" s="1">
        <f t="shared" si="242"/>
        <v>0</v>
      </c>
      <c r="EA58" s="1">
        <f t="shared" si="243"/>
        <v>0</v>
      </c>
      <c r="EB58" s="24">
        <f t="shared" si="244"/>
        <v>0</v>
      </c>
    </row>
    <row r="59" spans="1:132" ht="13.8" thickBot="1" x14ac:dyDescent="0.3">
      <c r="B59" s="13">
        <f>'Gårdens info'!C114</f>
        <v>0</v>
      </c>
      <c r="C59" s="33"/>
      <c r="D59" s="14"/>
      <c r="E59" s="33">
        <f>'Gårdens info'!J112</f>
        <v>0</v>
      </c>
      <c r="F59" s="14"/>
      <c r="G59" s="14"/>
      <c r="H59" s="417">
        <v>15</v>
      </c>
      <c r="I59">
        <f>'Gårdens info'!D112</f>
        <v>0</v>
      </c>
      <c r="J59" s="417">
        <f t="shared" si="155"/>
        <v>0</v>
      </c>
      <c r="K59" s="418">
        <v>0.03</v>
      </c>
      <c r="L59"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59"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59"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59"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59"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59"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59"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59"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59"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59"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59"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59"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59"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59"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59"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59"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59"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59"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59"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59"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59"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59"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59"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59"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59" s="411">
        <f t="shared" si="156"/>
        <v>1</v>
      </c>
      <c r="AK59" s="1">
        <f t="shared" si="157"/>
        <v>0</v>
      </c>
      <c r="AL59" s="1">
        <f t="shared" si="443"/>
        <v>0</v>
      </c>
      <c r="AM59" s="1">
        <f>IF((($C$7-$E59)&lt;=$H59),(($I59-$J59)/$H59*N59),0)</f>
        <v>0</v>
      </c>
      <c r="AN59" s="1">
        <f t="shared" si="159"/>
        <v>0</v>
      </c>
      <c r="AO59" s="1">
        <f t="shared" si="159"/>
        <v>0</v>
      </c>
      <c r="AP59" s="1">
        <f t="shared" si="160"/>
        <v>0</v>
      </c>
      <c r="AQ59" s="1">
        <f t="shared" si="500"/>
        <v>0</v>
      </c>
      <c r="AR59" s="1">
        <f t="shared" si="500"/>
        <v>0</v>
      </c>
      <c r="AS59" s="1">
        <f t="shared" si="500"/>
        <v>0</v>
      </c>
      <c r="AT59" s="1">
        <f t="shared" si="500"/>
        <v>0</v>
      </c>
      <c r="AU59" s="1">
        <f t="shared" si="500"/>
        <v>0</v>
      </c>
      <c r="AV59" s="1">
        <f t="shared" si="166"/>
        <v>0</v>
      </c>
      <c r="AW59" s="1">
        <f t="shared" si="167"/>
        <v>0</v>
      </c>
      <c r="AX59" s="1">
        <f t="shared" si="168"/>
        <v>0</v>
      </c>
      <c r="AY59" s="1">
        <f t="shared" si="169"/>
        <v>0</v>
      </c>
      <c r="AZ59" s="1">
        <f t="shared" si="170"/>
        <v>0</v>
      </c>
      <c r="BA59" s="1">
        <f t="shared" si="171"/>
        <v>0</v>
      </c>
      <c r="BB59" s="1">
        <f t="shared" si="172"/>
        <v>0</v>
      </c>
      <c r="BC59" s="1">
        <f t="shared" si="173"/>
        <v>0</v>
      </c>
      <c r="BD59" s="1">
        <f t="shared" si="174"/>
        <v>0</v>
      </c>
      <c r="BE59" s="1">
        <f t="shared" si="175"/>
        <v>0</v>
      </c>
      <c r="BF59" s="1">
        <f t="shared" si="176"/>
        <v>0</v>
      </c>
      <c r="BG59" s="1">
        <f t="shared" si="177"/>
        <v>0</v>
      </c>
      <c r="BH59" s="1">
        <f t="shared" si="178"/>
        <v>0</v>
      </c>
      <c r="BI59" s="23">
        <f t="shared" si="179"/>
        <v>0</v>
      </c>
      <c r="BJ59" s="1">
        <f t="shared" si="437"/>
        <v>0</v>
      </c>
      <c r="BK59" s="1">
        <f t="shared" si="438"/>
        <v>0</v>
      </c>
      <c r="BL59" s="1">
        <f t="shared" si="181"/>
        <v>0</v>
      </c>
      <c r="BM59" s="1">
        <f t="shared" si="181"/>
        <v>0</v>
      </c>
      <c r="BN59" s="1">
        <f t="shared" si="182"/>
        <v>0</v>
      </c>
      <c r="BO59" s="1">
        <f t="shared" si="501"/>
        <v>0</v>
      </c>
      <c r="BP59" s="1">
        <f t="shared" si="501"/>
        <v>0</v>
      </c>
      <c r="BQ59" s="1">
        <f t="shared" si="501"/>
        <v>0</v>
      </c>
      <c r="BR59" s="1">
        <f t="shared" si="501"/>
        <v>0</v>
      </c>
      <c r="BS59" s="1">
        <f t="shared" si="501"/>
        <v>0</v>
      </c>
      <c r="BT59" s="1">
        <f t="shared" si="188"/>
        <v>0</v>
      </c>
      <c r="BU59" s="1">
        <f t="shared" si="189"/>
        <v>0</v>
      </c>
      <c r="BV59" s="1">
        <f t="shared" si="190"/>
        <v>0</v>
      </c>
      <c r="BW59" s="1">
        <f t="shared" si="191"/>
        <v>0</v>
      </c>
      <c r="BX59" s="1">
        <f t="shared" si="192"/>
        <v>0</v>
      </c>
      <c r="BY59" s="1">
        <f t="shared" si="193"/>
        <v>0</v>
      </c>
      <c r="BZ59" s="1">
        <f t="shared" si="194"/>
        <v>0</v>
      </c>
      <c r="CA59" s="1">
        <f t="shared" si="195"/>
        <v>0</v>
      </c>
      <c r="CB59" s="1">
        <f t="shared" si="196"/>
        <v>0</v>
      </c>
      <c r="CC59" s="1">
        <f t="shared" si="197"/>
        <v>0</v>
      </c>
      <c r="CD59" s="1">
        <f t="shared" si="198"/>
        <v>0</v>
      </c>
      <c r="CE59" s="1">
        <f t="shared" si="199"/>
        <v>0</v>
      </c>
      <c r="CF59" s="24">
        <f t="shared" si="200"/>
        <v>0</v>
      </c>
      <c r="CG59" s="1">
        <f t="shared" si="201"/>
        <v>0</v>
      </c>
      <c r="CH59" s="1">
        <f t="shared" si="439"/>
        <v>0</v>
      </c>
      <c r="CI59" s="1">
        <f t="shared" si="440"/>
        <v>0</v>
      </c>
      <c r="CJ59" s="1">
        <f t="shared" si="203"/>
        <v>0</v>
      </c>
      <c r="CK59" s="1">
        <f t="shared" si="203"/>
        <v>0</v>
      </c>
      <c r="CL59" s="1">
        <f t="shared" si="204"/>
        <v>0</v>
      </c>
      <c r="CM59" s="1">
        <f t="shared" si="502"/>
        <v>0</v>
      </c>
      <c r="CN59" s="1">
        <f t="shared" si="502"/>
        <v>0</v>
      </c>
      <c r="CO59" s="1">
        <f t="shared" si="502"/>
        <v>0</v>
      </c>
      <c r="CP59" s="1">
        <f t="shared" si="502"/>
        <v>0</v>
      </c>
      <c r="CQ59" s="1">
        <f t="shared" si="502"/>
        <v>0</v>
      </c>
      <c r="CR59" s="1">
        <f t="shared" si="210"/>
        <v>0</v>
      </c>
      <c r="CS59" s="1">
        <f t="shared" si="211"/>
        <v>0</v>
      </c>
      <c r="CT59" s="1">
        <f t="shared" si="212"/>
        <v>0</v>
      </c>
      <c r="CU59" s="1">
        <f t="shared" si="213"/>
        <v>0</v>
      </c>
      <c r="CV59" s="1">
        <f t="shared" si="214"/>
        <v>0</v>
      </c>
      <c r="CW59" s="1">
        <f t="shared" si="215"/>
        <v>0</v>
      </c>
      <c r="CX59" s="1">
        <f t="shared" si="216"/>
        <v>0</v>
      </c>
      <c r="CY59" s="1">
        <f t="shared" si="217"/>
        <v>0</v>
      </c>
      <c r="CZ59" s="1">
        <f t="shared" si="218"/>
        <v>0</v>
      </c>
      <c r="DA59" s="1">
        <f t="shared" si="219"/>
        <v>0</v>
      </c>
      <c r="DB59" s="1">
        <f t="shared" si="220"/>
        <v>0</v>
      </c>
      <c r="DC59" s="1">
        <f t="shared" si="221"/>
        <v>0</v>
      </c>
      <c r="DD59" s="1">
        <f t="shared" si="222"/>
        <v>0</v>
      </c>
      <c r="DE59" s="23">
        <f t="shared" si="223"/>
        <v>0</v>
      </c>
      <c r="DF59" s="1">
        <f t="shared" si="441"/>
        <v>0</v>
      </c>
      <c r="DG59" s="1">
        <f t="shared" si="442"/>
        <v>0</v>
      </c>
      <c r="DH59" s="1">
        <f t="shared" si="225"/>
        <v>0</v>
      </c>
      <c r="DI59" s="1">
        <f t="shared" si="225"/>
        <v>0</v>
      </c>
      <c r="DJ59" s="1">
        <f t="shared" si="226"/>
        <v>0</v>
      </c>
      <c r="DK59" s="1">
        <f t="shared" si="503"/>
        <v>0</v>
      </c>
      <c r="DL59" s="1">
        <f t="shared" si="503"/>
        <v>0</v>
      </c>
      <c r="DM59" s="1">
        <f t="shared" si="503"/>
        <v>0</v>
      </c>
      <c r="DN59" s="1">
        <f t="shared" si="503"/>
        <v>0</v>
      </c>
      <c r="DO59" s="1">
        <f t="shared" si="503"/>
        <v>0</v>
      </c>
      <c r="DP59" s="1">
        <f t="shared" si="232"/>
        <v>0</v>
      </c>
      <c r="DQ59" s="1">
        <f t="shared" si="233"/>
        <v>0</v>
      </c>
      <c r="DR59" s="1">
        <f t="shared" si="234"/>
        <v>0</v>
      </c>
      <c r="DS59" s="1">
        <f t="shared" si="235"/>
        <v>0</v>
      </c>
      <c r="DT59" s="1">
        <f t="shared" si="236"/>
        <v>0</v>
      </c>
      <c r="DU59" s="1">
        <f t="shared" si="237"/>
        <v>0</v>
      </c>
      <c r="DV59" s="1">
        <f t="shared" si="238"/>
        <v>0</v>
      </c>
      <c r="DW59" s="1">
        <f t="shared" si="239"/>
        <v>0</v>
      </c>
      <c r="DX59" s="1">
        <f t="shared" si="240"/>
        <v>0</v>
      </c>
      <c r="DY59" s="1">
        <f t="shared" si="241"/>
        <v>0</v>
      </c>
      <c r="DZ59" s="1">
        <f t="shared" si="242"/>
        <v>0</v>
      </c>
      <c r="EA59" s="1">
        <f t="shared" si="243"/>
        <v>0</v>
      </c>
      <c r="EB59" s="24">
        <f t="shared" si="244"/>
        <v>0</v>
      </c>
    </row>
    <row r="60" spans="1:132" ht="13.8" thickBot="1" x14ac:dyDescent="0.3">
      <c r="B60" s="13">
        <f>'Gårdens info'!C115</f>
        <v>0</v>
      </c>
      <c r="C60" s="33"/>
      <c r="D60" s="14"/>
      <c r="E60" s="33">
        <f>'Gårdens info'!J113</f>
        <v>0</v>
      </c>
      <c r="F60" s="14"/>
      <c r="G60" s="14"/>
      <c r="H60" s="417">
        <v>15</v>
      </c>
      <c r="I60">
        <f>'Gårdens info'!D113</f>
        <v>0</v>
      </c>
      <c r="J60" s="417">
        <f t="shared" si="155"/>
        <v>0</v>
      </c>
      <c r="K60" s="418">
        <v>0.03</v>
      </c>
      <c r="L60"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60"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60"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60"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60"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60"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60"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60"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60"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60"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60"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60"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60"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60"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60"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60"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60"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60" s="409">
        <f>'Gårdens info'!$D$34/('Gårdens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AD60"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60"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60"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60"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60"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60" s="409">
        <f>'Gårdens info'!$D$42/('Gårdens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60" s="411">
        <f t="shared" si="156"/>
        <v>1</v>
      </c>
      <c r="AK60" s="1">
        <f t="shared" si="157"/>
        <v>0</v>
      </c>
      <c r="AL60" s="1">
        <f t="shared" si="443"/>
        <v>0</v>
      </c>
      <c r="AM60" s="1">
        <f>IF((($C$7-$E60)&lt;=$H60),(($I60-$J60)/$H60*N60),0)</f>
        <v>0</v>
      </c>
      <c r="AN60" s="1">
        <f t="shared" si="159"/>
        <v>0</v>
      </c>
      <c r="AO60" s="1">
        <f t="shared" si="159"/>
        <v>0</v>
      </c>
      <c r="AP60" s="1">
        <f t="shared" si="160"/>
        <v>0</v>
      </c>
      <c r="AQ60" s="1">
        <f t="shared" si="500"/>
        <v>0</v>
      </c>
      <c r="AR60" s="1">
        <f t="shared" si="500"/>
        <v>0</v>
      </c>
      <c r="AS60" s="1">
        <f t="shared" si="500"/>
        <v>0</v>
      </c>
      <c r="AT60" s="1">
        <f t="shared" si="500"/>
        <v>0</v>
      </c>
      <c r="AU60" s="1">
        <f t="shared" si="500"/>
        <v>0</v>
      </c>
      <c r="AV60" s="1">
        <f t="shared" si="166"/>
        <v>0</v>
      </c>
      <c r="AW60" s="1">
        <f t="shared" si="167"/>
        <v>0</v>
      </c>
      <c r="AX60" s="1">
        <f t="shared" si="168"/>
        <v>0</v>
      </c>
      <c r="AY60" s="1">
        <f t="shared" si="169"/>
        <v>0</v>
      </c>
      <c r="AZ60" s="1">
        <f t="shared" si="170"/>
        <v>0</v>
      </c>
      <c r="BA60" s="1">
        <f t="shared" si="171"/>
        <v>0</v>
      </c>
      <c r="BB60" s="1">
        <f t="shared" si="172"/>
        <v>0</v>
      </c>
      <c r="BC60" s="1">
        <f t="shared" si="173"/>
        <v>0</v>
      </c>
      <c r="BD60" s="1">
        <f t="shared" si="174"/>
        <v>0</v>
      </c>
      <c r="BE60" s="1">
        <f t="shared" si="175"/>
        <v>0</v>
      </c>
      <c r="BF60" s="1">
        <f t="shared" si="176"/>
        <v>0</v>
      </c>
      <c r="BG60" s="1">
        <f t="shared" si="177"/>
        <v>0</v>
      </c>
      <c r="BH60" s="1">
        <f t="shared" si="178"/>
        <v>0</v>
      </c>
      <c r="BI60" s="23">
        <f t="shared" si="179"/>
        <v>0</v>
      </c>
      <c r="BJ60" s="1">
        <f t="shared" si="437"/>
        <v>0</v>
      </c>
      <c r="BK60" s="1">
        <f t="shared" si="438"/>
        <v>0</v>
      </c>
      <c r="BL60" s="1">
        <f t="shared" si="181"/>
        <v>0</v>
      </c>
      <c r="BM60" s="1">
        <f t="shared" si="181"/>
        <v>0</v>
      </c>
      <c r="BN60" s="1">
        <f t="shared" si="182"/>
        <v>0</v>
      </c>
      <c r="BO60" s="1">
        <f t="shared" si="501"/>
        <v>0</v>
      </c>
      <c r="BP60" s="1">
        <f t="shared" si="501"/>
        <v>0</v>
      </c>
      <c r="BQ60" s="1">
        <f t="shared" si="501"/>
        <v>0</v>
      </c>
      <c r="BR60" s="1">
        <f t="shared" si="501"/>
        <v>0</v>
      </c>
      <c r="BS60" s="1">
        <f t="shared" si="501"/>
        <v>0</v>
      </c>
      <c r="BT60" s="1">
        <f t="shared" si="188"/>
        <v>0</v>
      </c>
      <c r="BU60" s="1">
        <f t="shared" si="189"/>
        <v>0</v>
      </c>
      <c r="BV60" s="1">
        <f t="shared" si="190"/>
        <v>0</v>
      </c>
      <c r="BW60" s="1">
        <f t="shared" si="191"/>
        <v>0</v>
      </c>
      <c r="BX60" s="1">
        <f t="shared" si="192"/>
        <v>0</v>
      </c>
      <c r="BY60" s="1">
        <f t="shared" si="193"/>
        <v>0</v>
      </c>
      <c r="BZ60" s="1">
        <f t="shared" si="194"/>
        <v>0</v>
      </c>
      <c r="CA60" s="1">
        <f t="shared" si="195"/>
        <v>0</v>
      </c>
      <c r="CB60" s="1">
        <f t="shared" si="196"/>
        <v>0</v>
      </c>
      <c r="CC60" s="1">
        <f t="shared" si="197"/>
        <v>0</v>
      </c>
      <c r="CD60" s="1">
        <f t="shared" si="198"/>
        <v>0</v>
      </c>
      <c r="CE60" s="1">
        <f t="shared" si="199"/>
        <v>0</v>
      </c>
      <c r="CF60" s="1">
        <f t="shared" si="200"/>
        <v>0</v>
      </c>
      <c r="CG60" s="23">
        <f t="shared" si="201"/>
        <v>0</v>
      </c>
      <c r="CH60" s="1">
        <f t="shared" si="439"/>
        <v>0</v>
      </c>
      <c r="CI60" s="1">
        <f t="shared" si="440"/>
        <v>0</v>
      </c>
      <c r="CJ60" s="1">
        <f t="shared" si="203"/>
        <v>0</v>
      </c>
      <c r="CK60" s="1">
        <f t="shared" si="203"/>
        <v>0</v>
      </c>
      <c r="CL60" s="1">
        <f t="shared" si="204"/>
        <v>0</v>
      </c>
      <c r="CM60" s="1">
        <f t="shared" si="502"/>
        <v>0</v>
      </c>
      <c r="CN60" s="1">
        <f t="shared" si="502"/>
        <v>0</v>
      </c>
      <c r="CO60" s="1">
        <f t="shared" si="502"/>
        <v>0</v>
      </c>
      <c r="CP60" s="1">
        <f t="shared" si="502"/>
        <v>0</v>
      </c>
      <c r="CQ60" s="1">
        <f t="shared" si="502"/>
        <v>0</v>
      </c>
      <c r="CR60" s="1">
        <f t="shared" si="210"/>
        <v>0</v>
      </c>
      <c r="CS60" s="1">
        <f t="shared" si="211"/>
        <v>0</v>
      </c>
      <c r="CT60" s="1">
        <f t="shared" si="212"/>
        <v>0</v>
      </c>
      <c r="CU60" s="1">
        <f t="shared" si="213"/>
        <v>0</v>
      </c>
      <c r="CV60" s="1">
        <f t="shared" si="214"/>
        <v>0</v>
      </c>
      <c r="CW60" s="1">
        <f t="shared" si="215"/>
        <v>0</v>
      </c>
      <c r="CX60" s="1">
        <f t="shared" si="216"/>
        <v>0</v>
      </c>
      <c r="CY60" s="1">
        <f t="shared" si="217"/>
        <v>0</v>
      </c>
      <c r="CZ60" s="1">
        <f t="shared" si="218"/>
        <v>0</v>
      </c>
      <c r="DA60" s="1">
        <f t="shared" si="219"/>
        <v>0</v>
      </c>
      <c r="DB60" s="1">
        <f t="shared" si="220"/>
        <v>0</v>
      </c>
      <c r="DC60" s="1">
        <f t="shared" si="221"/>
        <v>0</v>
      </c>
      <c r="DD60" s="1">
        <f t="shared" si="222"/>
        <v>0</v>
      </c>
      <c r="DE60" s="23">
        <f t="shared" si="223"/>
        <v>0</v>
      </c>
      <c r="DF60" s="1">
        <f t="shared" si="441"/>
        <v>0</v>
      </c>
      <c r="DG60" s="1">
        <f t="shared" si="442"/>
        <v>0</v>
      </c>
      <c r="DH60" s="1">
        <f t="shared" si="225"/>
        <v>0</v>
      </c>
      <c r="DI60" s="1">
        <f t="shared" si="225"/>
        <v>0</v>
      </c>
      <c r="DJ60" s="1">
        <f t="shared" si="226"/>
        <v>0</v>
      </c>
      <c r="DK60" s="1">
        <f t="shared" si="503"/>
        <v>0</v>
      </c>
      <c r="DL60" s="1">
        <f t="shared" si="503"/>
        <v>0</v>
      </c>
      <c r="DM60" s="1">
        <f t="shared" si="503"/>
        <v>0</v>
      </c>
      <c r="DN60" s="1">
        <f t="shared" si="503"/>
        <v>0</v>
      </c>
      <c r="DO60" s="1">
        <f t="shared" si="503"/>
        <v>0</v>
      </c>
      <c r="DP60" s="1">
        <f t="shared" si="232"/>
        <v>0</v>
      </c>
      <c r="DQ60" s="1">
        <f t="shared" si="233"/>
        <v>0</v>
      </c>
      <c r="DR60" s="1">
        <f t="shared" si="234"/>
        <v>0</v>
      </c>
      <c r="DS60" s="1">
        <f t="shared" si="235"/>
        <v>0</v>
      </c>
      <c r="DT60" s="1">
        <f t="shared" si="236"/>
        <v>0</v>
      </c>
      <c r="DU60" s="1">
        <f t="shared" si="237"/>
        <v>0</v>
      </c>
      <c r="DV60" s="1">
        <f t="shared" si="238"/>
        <v>0</v>
      </c>
      <c r="DW60" s="1">
        <f t="shared" si="239"/>
        <v>0</v>
      </c>
      <c r="DX60" s="1">
        <f t="shared" si="240"/>
        <v>0</v>
      </c>
      <c r="DY60" s="1">
        <f t="shared" si="241"/>
        <v>0</v>
      </c>
      <c r="DZ60" s="1">
        <f t="shared" si="242"/>
        <v>0</v>
      </c>
      <c r="EA60" s="1">
        <f t="shared" si="243"/>
        <v>0</v>
      </c>
      <c r="EB60" s="24">
        <f t="shared" si="244"/>
        <v>0</v>
      </c>
    </row>
    <row r="61" spans="1:132" s="5" customFormat="1" x14ac:dyDescent="0.25">
      <c r="A61" s="9" t="s">
        <v>54</v>
      </c>
      <c r="B61" s="9"/>
      <c r="C61" s="9"/>
      <c r="D61" s="9"/>
      <c r="E61" s="423"/>
      <c r="F61" s="423"/>
      <c r="G61" s="9"/>
      <c r="H61" s="423"/>
      <c r="I61" s="423"/>
      <c r="J61" s="423"/>
      <c r="K61" s="427"/>
      <c r="L61" s="428"/>
      <c r="M61" s="2"/>
      <c r="N61" s="2"/>
      <c r="O61" s="2"/>
      <c r="P61" s="2"/>
      <c r="Q61" s="2"/>
      <c r="R61" s="2"/>
      <c r="S61" s="2"/>
      <c r="T61" s="2"/>
      <c r="U61" s="2"/>
      <c r="V61" s="2"/>
      <c r="W61" s="2"/>
      <c r="X61" s="2"/>
      <c r="Y61" s="2"/>
      <c r="Z61" s="2"/>
      <c r="AA61" s="2"/>
      <c r="AB61" s="2"/>
      <c r="AC61" s="2"/>
      <c r="AD61" s="2"/>
      <c r="AE61" s="2"/>
      <c r="AF61" s="2"/>
      <c r="AG61" s="2"/>
      <c r="AH61" s="2"/>
      <c r="AI61" s="2"/>
      <c r="AJ61" s="408"/>
      <c r="AK61" s="10">
        <f>SUM(AK31:AK60)</f>
        <v>8442.5531914893636</v>
      </c>
      <c r="AL61" s="10">
        <f t="shared" ref="AL61" si="505">SUM(AL31:AL60)</f>
        <v>5309.2198581560278</v>
      </c>
      <c r="AM61" s="10">
        <f t="shared" ref="AM61:BH61" si="506">SUM(AM31:AM60)</f>
        <v>3775.8865248226953</v>
      </c>
      <c r="AN61" s="10">
        <f t="shared" si="506"/>
        <v>1564.7011144883486</v>
      </c>
      <c r="AO61" s="10">
        <f t="shared" ref="AO61" si="507">SUM(AO31:AO60)</f>
        <v>4499.9880803385186</v>
      </c>
      <c r="AP61" s="10">
        <f t="shared" ref="AP61:AU61" si="508">SUM(AP31:AP60)</f>
        <v>657.13808927826449</v>
      </c>
      <c r="AQ61" s="10">
        <f t="shared" si="508"/>
        <v>0</v>
      </c>
      <c r="AR61" s="10">
        <f t="shared" si="508"/>
        <v>0</v>
      </c>
      <c r="AS61" s="10">
        <f t="shared" si="508"/>
        <v>0</v>
      </c>
      <c r="AT61" s="10">
        <f t="shared" si="508"/>
        <v>0</v>
      </c>
      <c r="AU61" s="10">
        <f t="shared" si="508"/>
        <v>0</v>
      </c>
      <c r="AV61" s="10">
        <f t="shared" si="506"/>
        <v>765.63262411347512</v>
      </c>
      <c r="AW61" s="10">
        <f t="shared" si="506"/>
        <v>80.466666666666654</v>
      </c>
      <c r="AX61" s="10">
        <f t="shared" si="506"/>
        <v>0</v>
      </c>
      <c r="AY61" s="10">
        <f t="shared" si="506"/>
        <v>0</v>
      </c>
      <c r="AZ61" s="10">
        <f t="shared" si="506"/>
        <v>0</v>
      </c>
      <c r="BA61" s="10">
        <f t="shared" si="506"/>
        <v>0</v>
      </c>
      <c r="BB61" s="10">
        <f t="shared" si="506"/>
        <v>1054.6099290780141</v>
      </c>
      <c r="BC61" s="10">
        <f t="shared" si="506"/>
        <v>0</v>
      </c>
      <c r="BD61" s="10">
        <f t="shared" si="506"/>
        <v>0</v>
      </c>
      <c r="BE61" s="10">
        <f t="shared" si="506"/>
        <v>0</v>
      </c>
      <c r="BF61" s="10">
        <f t="shared" ref="BF61" si="509">SUM(BF31:BF60)</f>
        <v>0</v>
      </c>
      <c r="BG61" s="10">
        <f t="shared" si="506"/>
        <v>0</v>
      </c>
      <c r="BH61" s="10">
        <f t="shared" si="506"/>
        <v>0</v>
      </c>
      <c r="BI61" s="25">
        <f t="shared" ref="BI61:EB61" si="510">SUM(BI31:BI60)</f>
        <v>3165.9574468085102</v>
      </c>
      <c r="BJ61" s="10">
        <f t="shared" ref="BJ61" si="511">SUM(BJ31:BJ60)</f>
        <v>1990.9574468085107</v>
      </c>
      <c r="BK61" s="10">
        <f t="shared" si="510"/>
        <v>1415.9574468085104</v>
      </c>
      <c r="BL61" s="10">
        <f t="shared" si="510"/>
        <v>586.76291793313078</v>
      </c>
      <c r="BM61" s="10">
        <f t="shared" ref="BM61" si="512">SUM(BM31:BM60)</f>
        <v>1687.4955301269442</v>
      </c>
      <c r="BN61" s="10">
        <f t="shared" ref="BN61:BS61" si="513">SUM(BN31:BN60)</f>
        <v>246.42678347934921</v>
      </c>
      <c r="BO61" s="10">
        <f t="shared" si="513"/>
        <v>0</v>
      </c>
      <c r="BP61" s="10">
        <f t="shared" si="513"/>
        <v>0</v>
      </c>
      <c r="BQ61" s="10">
        <f t="shared" si="513"/>
        <v>0</v>
      </c>
      <c r="BR61" s="10">
        <f t="shared" si="513"/>
        <v>0</v>
      </c>
      <c r="BS61" s="10">
        <f t="shared" si="513"/>
        <v>0</v>
      </c>
      <c r="BT61" s="10">
        <f t="shared" si="510"/>
        <v>287.11223404255321</v>
      </c>
      <c r="BU61" s="10">
        <f t="shared" si="510"/>
        <v>30.174999999999997</v>
      </c>
      <c r="BV61" s="10">
        <f t="shared" si="510"/>
        <v>0</v>
      </c>
      <c r="BW61" s="10">
        <f t="shared" si="510"/>
        <v>0</v>
      </c>
      <c r="BX61" s="10">
        <f t="shared" si="510"/>
        <v>0</v>
      </c>
      <c r="BY61" s="10">
        <f t="shared" si="510"/>
        <v>0</v>
      </c>
      <c r="BZ61" s="10">
        <f t="shared" si="510"/>
        <v>395.47872340425533</v>
      </c>
      <c r="CA61" s="10">
        <f t="shared" si="510"/>
        <v>0</v>
      </c>
      <c r="CB61" s="10">
        <f t="shared" si="510"/>
        <v>0</v>
      </c>
      <c r="CC61" s="10">
        <f t="shared" si="510"/>
        <v>0</v>
      </c>
      <c r="CD61" s="10">
        <f t="shared" ref="CD61" si="514">SUM(CD31:CD60)</f>
        <v>0</v>
      </c>
      <c r="CE61" s="10">
        <f t="shared" si="510"/>
        <v>0</v>
      </c>
      <c r="CF61" s="10">
        <f t="shared" si="510"/>
        <v>0</v>
      </c>
      <c r="CG61" s="25">
        <f>SUM(CG31:CG60)</f>
        <v>3799.1489361702133</v>
      </c>
      <c r="CH61" s="10">
        <f t="shared" ref="CH61" si="515">SUM(CH31:CH60)</f>
        <v>4849.1489361702133</v>
      </c>
      <c r="CI61" s="10">
        <f t="shared" ref="CI61:CY61" si="516">SUM(CI31:CI60)</f>
        <v>1699.1489361702131</v>
      </c>
      <c r="CJ61" s="10">
        <f t="shared" si="516"/>
        <v>704.11550151975678</v>
      </c>
      <c r="CK61" s="10">
        <f t="shared" ref="CK61" si="517">SUM(CK31:CK60)</f>
        <v>2024.9946361523337</v>
      </c>
      <c r="CL61" s="10">
        <f t="shared" ref="CL61:CQ61" si="518">SUM(CL31:CL60)</f>
        <v>295.71214017521902</v>
      </c>
      <c r="CM61" s="10">
        <f t="shared" si="518"/>
        <v>0</v>
      </c>
      <c r="CN61" s="10">
        <f t="shared" si="518"/>
        <v>0</v>
      </c>
      <c r="CO61" s="10">
        <f t="shared" si="518"/>
        <v>0</v>
      </c>
      <c r="CP61" s="10">
        <f t="shared" si="518"/>
        <v>0</v>
      </c>
      <c r="CQ61" s="10">
        <f t="shared" si="518"/>
        <v>0</v>
      </c>
      <c r="CR61" s="10">
        <f t="shared" si="516"/>
        <v>344.5346808510638</v>
      </c>
      <c r="CS61" s="10">
        <f t="shared" si="516"/>
        <v>36.21</v>
      </c>
      <c r="CT61" s="10">
        <f t="shared" si="516"/>
        <v>0</v>
      </c>
      <c r="CU61" s="10">
        <f t="shared" si="516"/>
        <v>0</v>
      </c>
      <c r="CV61" s="10">
        <f t="shared" si="516"/>
        <v>0</v>
      </c>
      <c r="CW61" s="10">
        <f t="shared" si="516"/>
        <v>0</v>
      </c>
      <c r="CX61" s="10">
        <f t="shared" si="516"/>
        <v>474.5744680851065</v>
      </c>
      <c r="CY61" s="10" t="e">
        <f t="shared" si="516"/>
        <v>#DIV/0!</v>
      </c>
      <c r="CZ61" s="10" t="e">
        <f>SUM(CZ31:CZ60)</f>
        <v>#DIV/0!</v>
      </c>
      <c r="DA61" s="10" t="e">
        <f t="shared" ref="DA61:DB61" si="519">SUM(DA31:DA60)</f>
        <v>#DIV/0!</v>
      </c>
      <c r="DB61" s="10" t="e">
        <f t="shared" si="519"/>
        <v>#DIV/0!</v>
      </c>
      <c r="DC61" s="10">
        <f t="shared" ref="DC61" si="520">SUM(DC31:DC60)</f>
        <v>0</v>
      </c>
      <c r="DD61" s="10" t="e">
        <f t="shared" ref="DD61" si="521">SUM(DD31:DD60)</f>
        <v>#DIV/0!</v>
      </c>
      <c r="DE61" s="25">
        <f t="shared" si="510"/>
        <v>253.27659574468086</v>
      </c>
      <c r="DF61" s="10">
        <f t="shared" ref="DF61" si="522">SUM(DF31:DF60)</f>
        <v>323.27659574468089</v>
      </c>
      <c r="DG61" s="10">
        <f t="shared" si="510"/>
        <v>113.27659574468083</v>
      </c>
      <c r="DH61" s="10">
        <f t="shared" si="510"/>
        <v>46.94103343465045</v>
      </c>
      <c r="DI61" s="10">
        <f t="shared" ref="DI61" si="523">SUM(DI31:DI60)</f>
        <v>134.99964241015562</v>
      </c>
      <c r="DJ61" s="10">
        <f t="shared" ref="DJ61:DO61" si="524">SUM(DJ31:DJ60)</f>
        <v>19.714142678347933</v>
      </c>
      <c r="DK61" s="10">
        <f t="shared" si="524"/>
        <v>0</v>
      </c>
      <c r="DL61" s="10">
        <f t="shared" si="524"/>
        <v>0</v>
      </c>
      <c r="DM61" s="10">
        <f t="shared" si="524"/>
        <v>0</v>
      </c>
      <c r="DN61" s="10">
        <f t="shared" si="524"/>
        <v>0</v>
      </c>
      <c r="DO61" s="10">
        <f t="shared" si="524"/>
        <v>0</v>
      </c>
      <c r="DP61" s="10">
        <f t="shared" si="510"/>
        <v>22.968978723404252</v>
      </c>
      <c r="DQ61" s="10">
        <f t="shared" si="510"/>
        <v>2.4139999999999997</v>
      </c>
      <c r="DR61" s="10">
        <f t="shared" si="510"/>
        <v>0</v>
      </c>
      <c r="DS61" s="10">
        <f t="shared" si="510"/>
        <v>0</v>
      </c>
      <c r="DT61" s="10">
        <f t="shared" si="510"/>
        <v>0</v>
      </c>
      <c r="DU61" s="10">
        <f t="shared" si="510"/>
        <v>0</v>
      </c>
      <c r="DV61" s="10">
        <f t="shared" si="510"/>
        <v>31.638297872340427</v>
      </c>
      <c r="DW61" s="10" t="e">
        <f t="shared" si="510"/>
        <v>#DIV/0!</v>
      </c>
      <c r="DX61" s="10" t="e">
        <f t="shared" si="510"/>
        <v>#DIV/0!</v>
      </c>
      <c r="DY61" s="10" t="e">
        <f t="shared" si="510"/>
        <v>#DIV/0!</v>
      </c>
      <c r="DZ61" s="10" t="e">
        <f t="shared" ref="DZ61" si="525">SUM(DZ31:DZ60)</f>
        <v>#DIV/0!</v>
      </c>
      <c r="EA61" s="10">
        <f t="shared" si="510"/>
        <v>0</v>
      </c>
      <c r="EB61" s="26" t="e">
        <f t="shared" si="510"/>
        <v>#DIV/0!</v>
      </c>
    </row>
    <row r="62" spans="1:132" x14ac:dyDescent="0.25">
      <c r="B62" s="13"/>
      <c r="AJ62" s="39"/>
      <c r="AK62" s="23"/>
      <c r="AL62" s="1"/>
      <c r="AM62" s="1"/>
      <c r="AN62" s="1"/>
      <c r="AO62" s="1"/>
      <c r="AP62" s="1"/>
      <c r="AQ62" s="1"/>
      <c r="AR62" s="1"/>
      <c r="AS62" s="1"/>
      <c r="AT62" s="1"/>
      <c r="AU62" s="1"/>
      <c r="AV62" s="1"/>
      <c r="AW62" s="1"/>
      <c r="AX62" s="1"/>
      <c r="AY62" s="1"/>
      <c r="AZ62" s="1"/>
      <c r="BA62" s="1"/>
      <c r="BB62" s="1"/>
      <c r="BC62" s="1"/>
      <c r="BD62" s="1"/>
      <c r="BE62" s="1"/>
      <c r="BF62" s="1"/>
      <c r="BG62" s="1"/>
      <c r="BH62" s="1"/>
      <c r="BI62" s="23"/>
      <c r="BJ62" s="1"/>
      <c r="BK62" s="1"/>
      <c r="BL62" s="1"/>
      <c r="BM62" s="1"/>
      <c r="BN62" s="1"/>
      <c r="BO62" s="1"/>
      <c r="BP62" s="1"/>
      <c r="BQ62" s="1"/>
      <c r="BR62" s="1"/>
      <c r="BS62" s="1"/>
      <c r="BT62" s="1"/>
      <c r="BU62" s="1"/>
      <c r="BV62" s="1"/>
      <c r="BW62" s="1"/>
      <c r="BX62" s="1"/>
      <c r="BY62" s="1"/>
      <c r="BZ62" s="1"/>
      <c r="CA62" s="1"/>
      <c r="CB62" s="1"/>
      <c r="CC62" s="1"/>
      <c r="CD62" s="1"/>
      <c r="CE62" s="1"/>
      <c r="CF62" s="1"/>
      <c r="CG62" s="23"/>
      <c r="CH62" s="1"/>
      <c r="CI62" s="1"/>
      <c r="CJ62" s="1"/>
      <c r="CK62" s="1"/>
      <c r="CL62" s="1"/>
      <c r="CM62" s="1"/>
      <c r="CN62" s="1"/>
      <c r="CO62" s="1"/>
      <c r="CP62" s="1"/>
      <c r="CQ62" s="1"/>
      <c r="CR62" s="1"/>
      <c r="CS62" s="1"/>
      <c r="CT62" s="1"/>
      <c r="CU62" s="1"/>
      <c r="CV62" s="1"/>
      <c r="CW62" s="1"/>
      <c r="CX62" s="1"/>
      <c r="CY62" s="1"/>
      <c r="CZ62" s="1"/>
      <c r="DA62" s="1"/>
      <c r="DB62" s="1"/>
      <c r="DC62" s="1"/>
      <c r="DD62" s="1"/>
      <c r="DE62" s="34"/>
      <c r="DF62" s="1"/>
      <c r="DG62" s="1"/>
      <c r="DH62" s="1"/>
      <c r="DI62" s="1"/>
      <c r="DJ62" s="1"/>
      <c r="DK62" s="1"/>
      <c r="DL62" s="1"/>
      <c r="DM62" s="1"/>
      <c r="DN62" s="1"/>
      <c r="DO62" s="1"/>
      <c r="DP62" s="1"/>
      <c r="DQ62" s="1"/>
      <c r="DR62" s="1"/>
      <c r="DS62" s="1"/>
      <c r="DT62" s="1"/>
      <c r="EB62" s="16"/>
    </row>
    <row r="63" spans="1:132" x14ac:dyDescent="0.25">
      <c r="B63" s="13"/>
      <c r="AJ63" s="39"/>
      <c r="AK63" s="23"/>
      <c r="AL63" s="1"/>
      <c r="AM63" s="1"/>
      <c r="AN63" s="1"/>
      <c r="AO63" s="1"/>
      <c r="AP63" s="1"/>
      <c r="AQ63" s="1"/>
      <c r="AR63" s="1"/>
      <c r="AS63" s="1"/>
      <c r="AT63" s="1"/>
      <c r="AU63" s="1"/>
      <c r="AV63" s="1"/>
      <c r="AW63" s="1"/>
      <c r="AX63" s="1"/>
      <c r="AY63" s="1"/>
      <c r="AZ63" s="1"/>
      <c r="BA63" s="1"/>
      <c r="BB63" s="1"/>
      <c r="BC63" s="1"/>
      <c r="BD63" s="1"/>
      <c r="BE63" s="1"/>
      <c r="BF63" s="1"/>
      <c r="BG63" s="1"/>
      <c r="BH63" s="1"/>
      <c r="BI63" s="23"/>
      <c r="BJ63" s="1"/>
      <c r="BK63" s="1"/>
      <c r="BL63" s="1"/>
      <c r="BM63" s="1"/>
      <c r="BN63" s="1"/>
      <c r="BO63" s="1"/>
      <c r="BP63" s="1"/>
      <c r="BQ63" s="1"/>
      <c r="BR63" s="1"/>
      <c r="BS63" s="1"/>
      <c r="BT63" s="1"/>
      <c r="BU63" s="1"/>
      <c r="BV63" s="1"/>
      <c r="BW63" s="1"/>
      <c r="BX63" s="1"/>
      <c r="BY63" s="1"/>
      <c r="BZ63" s="1"/>
      <c r="CA63" s="1"/>
      <c r="CB63" s="1"/>
      <c r="CC63" s="1"/>
      <c r="CD63" s="1"/>
      <c r="CE63" s="1"/>
      <c r="CF63" s="1"/>
      <c r="CG63" s="23"/>
      <c r="CH63" s="1"/>
      <c r="CI63" s="1"/>
      <c r="CJ63" s="1"/>
      <c r="CK63" s="1"/>
      <c r="CL63" s="1"/>
      <c r="CM63" s="1"/>
      <c r="CN63" s="1"/>
      <c r="CO63" s="1"/>
      <c r="CP63" s="1"/>
      <c r="CQ63" s="1"/>
      <c r="CR63" s="1"/>
      <c r="CS63" s="1"/>
      <c r="CT63" s="1"/>
      <c r="CU63" s="1"/>
      <c r="CV63" s="1"/>
      <c r="CW63" s="1"/>
      <c r="CX63" s="1"/>
      <c r="CY63" s="1"/>
      <c r="CZ63" s="1"/>
      <c r="DA63" s="1"/>
      <c r="DB63" s="1"/>
      <c r="DC63" s="1"/>
      <c r="DD63" s="1"/>
      <c r="DE63" s="23"/>
      <c r="DF63" s="1"/>
      <c r="DG63" s="1"/>
      <c r="DH63" s="1"/>
      <c r="DI63" s="1"/>
      <c r="DJ63" s="1"/>
      <c r="DK63" s="1"/>
      <c r="DL63" s="1"/>
      <c r="DM63" s="1"/>
      <c r="DN63" s="1"/>
      <c r="DO63" s="1"/>
      <c r="DP63" s="1"/>
      <c r="DQ63" s="1"/>
      <c r="DR63" s="1"/>
      <c r="DS63" s="1"/>
      <c r="DT63" s="1"/>
      <c r="EB63" s="16"/>
    </row>
    <row r="64" spans="1:132" x14ac:dyDescent="0.25">
      <c r="AJ64" s="39"/>
      <c r="AK64" s="23"/>
      <c r="AL64" s="1"/>
      <c r="AM64" s="1"/>
      <c r="AN64" s="1"/>
      <c r="AO64" s="1"/>
      <c r="AP64" s="1"/>
      <c r="AQ64" s="1"/>
      <c r="AR64" s="1"/>
      <c r="AS64" s="1"/>
      <c r="AT64" s="1"/>
      <c r="AU64" s="1"/>
      <c r="AV64" s="1"/>
      <c r="AW64" s="1"/>
      <c r="AX64" s="1"/>
      <c r="AY64" s="1"/>
      <c r="AZ64" s="1"/>
      <c r="BA64" s="1"/>
      <c r="BB64" s="1"/>
      <c r="BC64" s="1"/>
      <c r="BD64" s="1"/>
      <c r="BE64" s="1"/>
      <c r="BF64" s="1"/>
      <c r="BG64" s="1"/>
      <c r="BH64" s="1"/>
      <c r="BI64" s="23"/>
      <c r="BJ64" s="1"/>
      <c r="BK64" s="1"/>
      <c r="BL64" s="1"/>
      <c r="BM64" s="1"/>
      <c r="BN64" s="1"/>
      <c r="BO64" s="1"/>
      <c r="BP64" s="1"/>
      <c r="BQ64" s="1"/>
      <c r="BR64" s="1"/>
      <c r="BS64" s="1"/>
      <c r="BT64" s="1"/>
      <c r="BU64" s="1"/>
      <c r="BV64" s="1"/>
      <c r="BW64" s="1"/>
      <c r="BX64" s="1"/>
      <c r="BY64" s="1"/>
      <c r="BZ64" s="1"/>
      <c r="CA64" s="1"/>
      <c r="CB64" s="1"/>
      <c r="CC64" s="1"/>
      <c r="CD64" s="1"/>
      <c r="CE64" s="1"/>
      <c r="CF64" s="1"/>
      <c r="CG64" s="23"/>
      <c r="CH64" s="1"/>
      <c r="CI64" s="1"/>
      <c r="CJ64" s="1"/>
      <c r="CK64" s="1"/>
      <c r="CL64" s="1"/>
      <c r="CM64" s="1"/>
      <c r="CN64" s="1"/>
      <c r="CO64" s="1"/>
      <c r="CP64" s="1"/>
      <c r="CQ64" s="1"/>
      <c r="CR64" s="1"/>
      <c r="CS64" s="1"/>
      <c r="CT64" s="1"/>
      <c r="CU64" s="1"/>
      <c r="CV64" s="1"/>
      <c r="CW64" s="1"/>
      <c r="CX64" s="1"/>
      <c r="CY64" s="1"/>
      <c r="CZ64" s="1"/>
      <c r="DA64" s="1"/>
      <c r="DB64" s="1"/>
      <c r="DC64" s="1"/>
      <c r="DD64" s="1"/>
      <c r="DE64" s="23"/>
      <c r="DF64" s="1"/>
      <c r="DG64" s="1"/>
      <c r="DH64" s="1"/>
      <c r="DI64" s="1"/>
      <c r="DJ64" s="1"/>
      <c r="DK64" s="1"/>
      <c r="DL64" s="1"/>
      <c r="DM64" s="1"/>
      <c r="DN64" s="1"/>
      <c r="DO64" s="1"/>
      <c r="DP64" s="1"/>
      <c r="DQ64" s="1"/>
      <c r="DR64" s="1"/>
      <c r="DS64" s="1"/>
      <c r="DT64" s="1"/>
      <c r="EB64" s="16"/>
    </row>
    <row r="65" spans="1:132" x14ac:dyDescent="0.25">
      <c r="AJ65" s="39"/>
      <c r="AK65" s="23"/>
      <c r="AL65" s="1"/>
      <c r="AM65" s="1"/>
      <c r="AN65" s="1"/>
      <c r="AO65" s="1"/>
      <c r="AP65" s="1"/>
      <c r="AQ65" s="1"/>
      <c r="AR65" s="1"/>
      <c r="AS65" s="1"/>
      <c r="AT65" s="1"/>
      <c r="AU65" s="1"/>
      <c r="AV65" s="1"/>
      <c r="AW65" s="1"/>
      <c r="AX65" s="1"/>
      <c r="AY65" s="1"/>
      <c r="AZ65" s="1"/>
      <c r="BA65" s="1"/>
      <c r="BB65" s="1"/>
      <c r="BC65" s="1"/>
      <c r="BD65" s="1"/>
      <c r="BE65" s="1"/>
      <c r="BF65" s="1"/>
      <c r="BG65" s="1"/>
      <c r="BH65" s="1"/>
      <c r="BI65" s="23"/>
      <c r="BJ65" s="1"/>
      <c r="BK65" s="1"/>
      <c r="BL65" s="1"/>
      <c r="BM65" s="1"/>
      <c r="BN65" s="1"/>
      <c r="BO65" s="1"/>
      <c r="BP65" s="1"/>
      <c r="BQ65" s="1"/>
      <c r="BR65" s="1"/>
      <c r="BS65" s="1"/>
      <c r="BT65" s="1"/>
      <c r="BU65" s="1"/>
      <c r="BV65" s="1"/>
      <c r="BW65" s="1"/>
      <c r="BX65" s="1"/>
      <c r="BY65" s="1"/>
      <c r="BZ65" s="1"/>
      <c r="CA65" s="1"/>
      <c r="CB65" s="1"/>
      <c r="CC65" s="1"/>
      <c r="CD65" s="1"/>
      <c r="CE65" s="1"/>
      <c r="CF65" s="1"/>
      <c r="CG65" s="23"/>
      <c r="CH65" s="1"/>
      <c r="CI65" s="1"/>
      <c r="CJ65" s="1"/>
      <c r="CK65" s="1"/>
      <c r="CL65" s="1"/>
      <c r="CM65" s="1"/>
      <c r="CN65" s="1"/>
      <c r="CO65" s="1"/>
      <c r="CP65" s="1"/>
      <c r="CQ65" s="1"/>
      <c r="CR65" s="1"/>
      <c r="CS65" s="1"/>
      <c r="CT65" s="1"/>
      <c r="CU65" s="1"/>
      <c r="CV65" s="1"/>
      <c r="CW65" s="1"/>
      <c r="CX65" s="1"/>
      <c r="CY65" s="1"/>
      <c r="CZ65" s="1"/>
      <c r="DA65" s="1"/>
      <c r="DB65" s="1"/>
      <c r="DC65" s="1"/>
      <c r="DD65" s="1"/>
      <c r="DE65" s="23"/>
      <c r="DF65" s="1"/>
      <c r="DG65" s="1"/>
      <c r="DH65" s="1"/>
      <c r="DI65" s="1"/>
      <c r="DJ65" s="1"/>
      <c r="DK65" s="1"/>
      <c r="DL65" s="1"/>
      <c r="DM65" s="1"/>
      <c r="DN65" s="1"/>
      <c r="DO65" s="1"/>
      <c r="DP65" s="1"/>
      <c r="DQ65" s="1"/>
      <c r="DR65" s="1"/>
      <c r="DS65" s="1"/>
      <c r="DT65" s="1"/>
      <c r="EB65" s="16"/>
    </row>
    <row r="66" spans="1:132" ht="40.200000000000003" thickBot="1" x14ac:dyDescent="0.3">
      <c r="A66" s="4" t="s">
        <v>355</v>
      </c>
      <c r="C66" s="4" t="s">
        <v>890</v>
      </c>
      <c r="E66" s="7" t="s">
        <v>874</v>
      </c>
      <c r="F66" s="426" t="s">
        <v>891</v>
      </c>
      <c r="H66" s="434" t="s">
        <v>875</v>
      </c>
      <c r="I66" s="424" t="s">
        <v>892</v>
      </c>
      <c r="J66" s="434" t="s">
        <v>877</v>
      </c>
      <c r="K66" s="434" t="s">
        <v>878</v>
      </c>
      <c r="AJ66" s="39"/>
      <c r="AK66" s="23"/>
      <c r="AL66" s="1"/>
      <c r="AM66" s="1"/>
      <c r="AN66" s="1"/>
      <c r="AO66" s="1"/>
      <c r="AP66" s="1"/>
      <c r="AQ66" s="1"/>
      <c r="AR66" s="1"/>
      <c r="AS66" s="1"/>
      <c r="AT66" s="1"/>
      <c r="AU66" s="1"/>
      <c r="AV66" s="1"/>
      <c r="AW66" s="1"/>
      <c r="AX66" s="1"/>
      <c r="AY66" s="1"/>
      <c r="AZ66" s="1"/>
      <c r="BA66" s="1"/>
      <c r="BB66" s="1"/>
      <c r="BC66" s="1"/>
      <c r="BD66" s="1"/>
      <c r="BE66" s="1"/>
      <c r="BF66" s="1"/>
      <c r="BG66" s="1"/>
      <c r="BH66" s="1"/>
      <c r="BI66" s="23"/>
      <c r="BJ66" s="1"/>
      <c r="BK66" s="1"/>
      <c r="BL66" s="1"/>
      <c r="BM66" s="1"/>
      <c r="BN66" s="1"/>
      <c r="BO66" s="1"/>
      <c r="BP66" s="1"/>
      <c r="BQ66" s="1"/>
      <c r="BR66" s="1"/>
      <c r="BS66" s="1"/>
      <c r="BT66" s="1"/>
      <c r="BU66" s="1"/>
      <c r="BV66" s="1"/>
      <c r="BW66" s="1"/>
      <c r="BX66" s="1"/>
      <c r="BY66" s="1"/>
      <c r="BZ66" s="1"/>
      <c r="CA66" s="1"/>
      <c r="CB66" s="1"/>
      <c r="CC66" s="1"/>
      <c r="CD66" s="1"/>
      <c r="CE66" s="1"/>
      <c r="CF66" s="1"/>
      <c r="CG66" s="23"/>
      <c r="CH66" s="1"/>
      <c r="CI66" s="1"/>
      <c r="CJ66" s="1"/>
      <c r="CK66" s="1"/>
      <c r="CL66" s="1"/>
      <c r="CM66" s="1"/>
      <c r="CN66" s="1"/>
      <c r="CO66" s="1"/>
      <c r="CP66" s="1"/>
      <c r="CQ66" s="1"/>
      <c r="CR66" s="1"/>
      <c r="CS66" s="1"/>
      <c r="CT66" s="1"/>
      <c r="CU66" s="1"/>
      <c r="CV66" s="1"/>
      <c r="CW66" s="1"/>
      <c r="CX66" s="1"/>
      <c r="CY66" s="1"/>
      <c r="CZ66" s="1"/>
      <c r="DA66" s="1"/>
      <c r="DB66" s="1"/>
      <c r="DC66" s="1"/>
      <c r="DD66" s="1"/>
      <c r="DE66" s="23"/>
      <c r="DF66" s="1"/>
      <c r="DG66" s="1"/>
      <c r="DH66" s="1"/>
      <c r="DI66" s="1"/>
      <c r="DJ66" s="1"/>
      <c r="DK66" s="1"/>
      <c r="DL66" s="1"/>
      <c r="DM66" s="1"/>
      <c r="DN66" s="1"/>
      <c r="DO66" s="1"/>
      <c r="DP66" s="1"/>
      <c r="DQ66" s="1"/>
      <c r="DR66" s="1"/>
      <c r="DS66" s="1"/>
      <c r="DT66" s="1"/>
      <c r="EB66" s="16"/>
    </row>
    <row r="67" spans="1:132" s="594" customFormat="1" ht="13.8" thickBot="1" x14ac:dyDescent="0.3">
      <c r="B67" s="594" t="str">
        <f>'Gårdens info'!C119</f>
        <v>Plockningskorg</v>
      </c>
      <c r="C67" s="596">
        <f>'Gårdens info'!D119</f>
        <v>4.5999999999999996</v>
      </c>
      <c r="D67" s="594" t="s">
        <v>246</v>
      </c>
      <c r="E67" s="596">
        <v>2024</v>
      </c>
      <c r="F67" s="596">
        <f>'Gårdens info'!G119</f>
        <v>50</v>
      </c>
      <c r="G67" s="611" t="s">
        <v>31</v>
      </c>
      <c r="H67" s="612">
        <v>5</v>
      </c>
      <c r="I67" s="594">
        <f>C67*F67</f>
        <v>229.99999999999997</v>
      </c>
      <c r="J67" s="597">
        <v>0</v>
      </c>
      <c r="K67" s="598">
        <v>0.05</v>
      </c>
      <c r="L67" s="599">
        <v>0</v>
      </c>
      <c r="M67" s="600">
        <v>0</v>
      </c>
      <c r="N67" s="600">
        <v>0</v>
      </c>
      <c r="O67" s="600">
        <v>0</v>
      </c>
      <c r="P67" s="600">
        <v>0</v>
      </c>
      <c r="Q67" s="600">
        <v>0</v>
      </c>
      <c r="R67" s="600">
        <v>0</v>
      </c>
      <c r="S67" s="600">
        <v>0</v>
      </c>
      <c r="T67" s="600">
        <v>0</v>
      </c>
      <c r="U67" s="600">
        <v>0</v>
      </c>
      <c r="V67" s="600">
        <v>0</v>
      </c>
      <c r="W67" s="600">
        <f>IF('Gårdens info'!$D$28&gt;0,'Gårdens info'!$D$28/('Gårdens info'!$D$28+'Gårdens info'!$D$29+'Gårdens info'!$D$30+'Gårdens info'!$D$31+'Gårdens info'!$D$33),0)</f>
        <v>1</v>
      </c>
      <c r="X67" s="600">
        <f>IF('Gårdens info'!$D$29&gt;0,'Gårdens info'!$D$29/('Gårdens info'!$D$28+'Gårdens info'!$D$29+'Gårdens info'!$D$30+'Gårdens info'!$D$31+'Gårdens info'!$D$33),0)</f>
        <v>0</v>
      </c>
      <c r="Y67" s="600">
        <f>IF('Gårdens info'!$D$30&gt;0,'Gårdens info'!$D$30/('Gårdens info'!$D$28+'Gårdens info'!$D$29+'Gårdens info'!$D$30+'Gårdens info'!$D$31+'Gårdens info'!$D$33),0)</f>
        <v>0</v>
      </c>
      <c r="Z67" s="600">
        <f>IF('Gårdens info'!$D$31&gt;0,'Gårdens info'!$D$31/('Gårdens info'!$D$28+'Gårdens info'!$D$29+'Gårdens info'!$D$30+'Gårdens info'!$D$31+'Gårdens info'!$D$33),0)</f>
        <v>0</v>
      </c>
      <c r="AA67" s="600">
        <v>0</v>
      </c>
      <c r="AB67" s="600">
        <f>IF('Gårdens info'!$D$33&gt;0,'Gårdens info'!$D$33/('Gårdens info'!$D$28+'Gårdens info'!$D$29+'Gårdens info'!$D$30+'Gårdens info'!$D$31+'Gårdens info'!$D$33),0)</f>
        <v>0</v>
      </c>
      <c r="AC67" s="600">
        <v>0</v>
      </c>
      <c r="AD67" s="600">
        <v>0</v>
      </c>
      <c r="AE67" s="600">
        <v>0</v>
      </c>
      <c r="AF67" s="600">
        <v>0</v>
      </c>
      <c r="AG67" s="600">
        <v>0</v>
      </c>
      <c r="AH67" s="600">
        <v>0</v>
      </c>
      <c r="AI67" s="600">
        <v>0</v>
      </c>
      <c r="AJ67" s="604">
        <f>+SUM(L67:AI67)</f>
        <v>1</v>
      </c>
      <c r="AK67" s="602">
        <f t="shared" ref="AK67:BH67" si="526">IF((($C$7-$E67)&lt;=$H67),(($I67-$J67)/$H67*L67),0)</f>
        <v>0</v>
      </c>
      <c r="AL67" s="596">
        <f t="shared" si="526"/>
        <v>0</v>
      </c>
      <c r="AM67" s="596">
        <f t="shared" si="526"/>
        <v>0</v>
      </c>
      <c r="AN67" s="596">
        <f t="shared" si="526"/>
        <v>0</v>
      </c>
      <c r="AO67" s="596">
        <f t="shared" si="526"/>
        <v>0</v>
      </c>
      <c r="AP67" s="596">
        <f t="shared" si="526"/>
        <v>0</v>
      </c>
      <c r="AQ67" s="596">
        <f t="shared" si="526"/>
        <v>0</v>
      </c>
      <c r="AR67" s="596">
        <f t="shared" si="526"/>
        <v>0</v>
      </c>
      <c r="AS67" s="596">
        <f t="shared" si="526"/>
        <v>0</v>
      </c>
      <c r="AT67" s="596">
        <f t="shared" si="526"/>
        <v>0</v>
      </c>
      <c r="AU67" s="596">
        <f t="shared" si="526"/>
        <v>0</v>
      </c>
      <c r="AV67" s="596">
        <f t="shared" si="526"/>
        <v>45.999999999999993</v>
      </c>
      <c r="AW67" s="596">
        <f t="shared" si="526"/>
        <v>0</v>
      </c>
      <c r="AX67" s="596">
        <f t="shared" si="526"/>
        <v>0</v>
      </c>
      <c r="AY67" s="596">
        <f t="shared" si="526"/>
        <v>0</v>
      </c>
      <c r="AZ67" s="596">
        <f t="shared" si="526"/>
        <v>0</v>
      </c>
      <c r="BA67" s="596">
        <f t="shared" si="526"/>
        <v>0</v>
      </c>
      <c r="BB67" s="596">
        <f t="shared" si="526"/>
        <v>0</v>
      </c>
      <c r="BC67" s="596">
        <f t="shared" si="526"/>
        <v>0</v>
      </c>
      <c r="BD67" s="596">
        <f t="shared" si="526"/>
        <v>0</v>
      </c>
      <c r="BE67" s="596">
        <f t="shared" si="526"/>
        <v>0</v>
      </c>
      <c r="BF67" s="596">
        <f t="shared" si="526"/>
        <v>0</v>
      </c>
      <c r="BG67" s="596">
        <f t="shared" si="526"/>
        <v>0</v>
      </c>
      <c r="BH67" s="596">
        <f t="shared" si="526"/>
        <v>0</v>
      </c>
      <c r="BI67" s="602">
        <f t="shared" ref="BI67:CF67" si="527">IF(($C$7-$E67&lt;=$H67),(($I67+$J67)/2*$C$8*L67),0)</f>
        <v>0</v>
      </c>
      <c r="BJ67" s="596">
        <f t="shared" si="527"/>
        <v>0</v>
      </c>
      <c r="BK67" s="596">
        <f t="shared" si="527"/>
        <v>0</v>
      </c>
      <c r="BL67" s="596">
        <f t="shared" si="527"/>
        <v>0</v>
      </c>
      <c r="BM67" s="596">
        <f t="shared" si="527"/>
        <v>0</v>
      </c>
      <c r="BN67" s="596">
        <f t="shared" si="527"/>
        <v>0</v>
      </c>
      <c r="BO67" s="596">
        <f t="shared" si="527"/>
        <v>0</v>
      </c>
      <c r="BP67" s="596">
        <f t="shared" si="527"/>
        <v>0</v>
      </c>
      <c r="BQ67" s="596">
        <f t="shared" si="527"/>
        <v>0</v>
      </c>
      <c r="BR67" s="596">
        <f t="shared" si="527"/>
        <v>0</v>
      </c>
      <c r="BS67" s="596">
        <f t="shared" si="527"/>
        <v>0</v>
      </c>
      <c r="BT67" s="596">
        <f t="shared" si="527"/>
        <v>5.75</v>
      </c>
      <c r="BU67" s="596">
        <f t="shared" si="527"/>
        <v>0</v>
      </c>
      <c r="BV67" s="596">
        <f t="shared" si="527"/>
        <v>0</v>
      </c>
      <c r="BW67" s="596">
        <f t="shared" si="527"/>
        <v>0</v>
      </c>
      <c r="BX67" s="596">
        <f t="shared" si="527"/>
        <v>0</v>
      </c>
      <c r="BY67" s="596">
        <f t="shared" si="527"/>
        <v>0</v>
      </c>
      <c r="BZ67" s="596">
        <f t="shared" si="527"/>
        <v>0</v>
      </c>
      <c r="CA67" s="596">
        <f t="shared" si="527"/>
        <v>0</v>
      </c>
      <c r="CB67" s="596">
        <f t="shared" si="527"/>
        <v>0</v>
      </c>
      <c r="CC67" s="596">
        <f t="shared" si="527"/>
        <v>0</v>
      </c>
      <c r="CD67" s="596">
        <f t="shared" si="527"/>
        <v>0</v>
      </c>
      <c r="CE67" s="596">
        <f t="shared" si="527"/>
        <v>0</v>
      </c>
      <c r="CF67" s="596">
        <f t="shared" si="527"/>
        <v>0</v>
      </c>
      <c r="CG67" s="602">
        <f t="shared" ref="CG67:DD67" si="528">$I67*$K67*L67</f>
        <v>0</v>
      </c>
      <c r="CH67" s="596">
        <f t="shared" si="528"/>
        <v>0</v>
      </c>
      <c r="CI67" s="596">
        <f t="shared" si="528"/>
        <v>0</v>
      </c>
      <c r="CJ67" s="596">
        <f t="shared" si="528"/>
        <v>0</v>
      </c>
      <c r="CK67" s="596">
        <f t="shared" si="528"/>
        <v>0</v>
      </c>
      <c r="CL67" s="596">
        <f t="shared" si="528"/>
        <v>0</v>
      </c>
      <c r="CM67" s="596">
        <f t="shared" si="528"/>
        <v>0</v>
      </c>
      <c r="CN67" s="596">
        <f t="shared" si="528"/>
        <v>0</v>
      </c>
      <c r="CO67" s="596">
        <f t="shared" si="528"/>
        <v>0</v>
      </c>
      <c r="CP67" s="596">
        <f t="shared" si="528"/>
        <v>0</v>
      </c>
      <c r="CQ67" s="596">
        <f t="shared" si="528"/>
        <v>0</v>
      </c>
      <c r="CR67" s="596">
        <f t="shared" si="528"/>
        <v>11.5</v>
      </c>
      <c r="CS67" s="596">
        <f t="shared" si="528"/>
        <v>0</v>
      </c>
      <c r="CT67" s="596">
        <f t="shared" si="528"/>
        <v>0</v>
      </c>
      <c r="CU67" s="596">
        <f t="shared" si="528"/>
        <v>0</v>
      </c>
      <c r="CV67" s="596">
        <f t="shared" si="528"/>
        <v>0</v>
      </c>
      <c r="CW67" s="596">
        <f t="shared" si="528"/>
        <v>0</v>
      </c>
      <c r="CX67" s="596">
        <f t="shared" si="528"/>
        <v>0</v>
      </c>
      <c r="CY67" s="596">
        <f t="shared" si="528"/>
        <v>0</v>
      </c>
      <c r="CZ67" s="596">
        <f t="shared" si="528"/>
        <v>0</v>
      </c>
      <c r="DA67" s="596">
        <f t="shared" si="528"/>
        <v>0</v>
      </c>
      <c r="DB67" s="596">
        <f t="shared" si="528"/>
        <v>0</v>
      </c>
      <c r="DC67" s="596">
        <f t="shared" si="528"/>
        <v>0</v>
      </c>
      <c r="DD67" s="596">
        <f t="shared" si="528"/>
        <v>0</v>
      </c>
      <c r="DE67" s="602">
        <f>$I67*$C$9*L67</f>
        <v>0</v>
      </c>
      <c r="DF67" s="596"/>
      <c r="DG67" s="596">
        <f t="shared" ref="DG67:EB67" si="529">$I67*$C$9*N67</f>
        <v>0</v>
      </c>
      <c r="DH67" s="596">
        <f t="shared" si="529"/>
        <v>0</v>
      </c>
      <c r="DI67" s="596">
        <f t="shared" si="529"/>
        <v>0</v>
      </c>
      <c r="DJ67" s="596">
        <f t="shared" si="529"/>
        <v>0</v>
      </c>
      <c r="DK67" s="596">
        <f t="shared" si="529"/>
        <v>0</v>
      </c>
      <c r="DL67" s="596">
        <f t="shared" si="529"/>
        <v>0</v>
      </c>
      <c r="DM67" s="596">
        <f t="shared" si="529"/>
        <v>0</v>
      </c>
      <c r="DN67" s="596">
        <f t="shared" si="529"/>
        <v>0</v>
      </c>
      <c r="DO67" s="596">
        <f t="shared" si="529"/>
        <v>0</v>
      </c>
      <c r="DP67" s="596">
        <f t="shared" si="529"/>
        <v>0.45999999999999996</v>
      </c>
      <c r="DQ67" s="596">
        <f t="shared" si="529"/>
        <v>0</v>
      </c>
      <c r="DR67" s="596">
        <f t="shared" si="529"/>
        <v>0</v>
      </c>
      <c r="DS67" s="596">
        <f t="shared" si="529"/>
        <v>0</v>
      </c>
      <c r="DT67" s="596">
        <f t="shared" si="529"/>
        <v>0</v>
      </c>
      <c r="DU67" s="596">
        <f t="shared" si="529"/>
        <v>0</v>
      </c>
      <c r="DV67" s="596">
        <f t="shared" si="529"/>
        <v>0</v>
      </c>
      <c r="DW67" s="596">
        <f t="shared" si="529"/>
        <v>0</v>
      </c>
      <c r="DX67" s="596">
        <f t="shared" si="529"/>
        <v>0</v>
      </c>
      <c r="DY67" s="596">
        <f t="shared" si="529"/>
        <v>0</v>
      </c>
      <c r="DZ67" s="596">
        <f t="shared" si="529"/>
        <v>0</v>
      </c>
      <c r="EA67" s="596">
        <f t="shared" si="529"/>
        <v>0</v>
      </c>
      <c r="EB67" s="603">
        <f t="shared" si="529"/>
        <v>0</v>
      </c>
    </row>
    <row r="68" spans="1:132" s="594" customFormat="1" ht="13.8" thickBot="1" x14ac:dyDescent="0.3">
      <c r="B68" s="594" t="str">
        <f>'Gårdens info'!C120</f>
        <v>Bärställning för lådor</v>
      </c>
      <c r="C68" s="596">
        <f>'Gårdens info'!D120</f>
        <v>10</v>
      </c>
      <c r="D68" s="594" t="s">
        <v>246</v>
      </c>
      <c r="E68" s="596">
        <v>2024</v>
      </c>
      <c r="F68" s="596">
        <f>'Gårdens info'!G120</f>
        <v>50</v>
      </c>
      <c r="G68" s="611" t="s">
        <v>31</v>
      </c>
      <c r="H68" s="612">
        <v>10</v>
      </c>
      <c r="I68" s="594">
        <f>C68*F68</f>
        <v>500</v>
      </c>
      <c r="J68" s="597">
        <v>0</v>
      </c>
      <c r="K68" s="598">
        <v>0.05</v>
      </c>
      <c r="L68" s="599">
        <v>0</v>
      </c>
      <c r="M68" s="600">
        <v>0</v>
      </c>
      <c r="N68" s="600">
        <v>0</v>
      </c>
      <c r="O68" s="600">
        <v>0</v>
      </c>
      <c r="P68" s="600">
        <v>0</v>
      </c>
      <c r="Q68" s="600">
        <v>0</v>
      </c>
      <c r="R68" s="600">
        <v>0</v>
      </c>
      <c r="S68" s="600">
        <v>0</v>
      </c>
      <c r="T68" s="600">
        <v>0</v>
      </c>
      <c r="U68" s="600">
        <v>0</v>
      </c>
      <c r="V68" s="600">
        <v>0</v>
      </c>
      <c r="W68" s="600">
        <f>IF('Gårdens info'!$D$28&gt;0,'Gårdens info'!$D$28/('Gårdens info'!$D$28+'Gårdens info'!$D$29+'Gårdens info'!$D$30+'Gårdens info'!$D$31+'Gårdens info'!$D$33),0)</f>
        <v>1</v>
      </c>
      <c r="X68" s="600">
        <f>IF('Gårdens info'!$D$29&gt;0,'Gårdens info'!$D$29/('Gårdens info'!$D$28+'Gårdens info'!$D$29+'Gårdens info'!$D$30+'Gårdens info'!$D$31+'Gårdens info'!$D$33),0)</f>
        <v>0</v>
      </c>
      <c r="Y68" s="600">
        <f>IF('Gårdens info'!$D$30&gt;0,'Gårdens info'!$D$30/('Gårdens info'!$D$28+'Gårdens info'!$D$29+'Gårdens info'!$D$30+'Gårdens info'!$D$31+'Gårdens info'!$D$33),0)</f>
        <v>0</v>
      </c>
      <c r="Z68" s="600">
        <f>IF('Gårdens info'!$D$31&gt;0,'Gårdens info'!$D$31/('Gårdens info'!$D$28+'Gårdens info'!$D$29+'Gårdens info'!$D$30+'Gårdens info'!$D$31+'Gårdens info'!$D$33),0)</f>
        <v>0</v>
      </c>
      <c r="AA68" s="600">
        <v>0</v>
      </c>
      <c r="AB68" s="600">
        <f>IF('Gårdens info'!$D$33&gt;0,'Gårdens info'!$D$33/('Gårdens info'!$D$28+'Gårdens info'!$D$29+'Gårdens info'!$D$30+'Gårdens info'!$D$31+'Gårdens info'!$D$33),0)</f>
        <v>0</v>
      </c>
      <c r="AC68" s="600">
        <v>0</v>
      </c>
      <c r="AD68" s="600">
        <v>0</v>
      </c>
      <c r="AE68" s="600">
        <v>0</v>
      </c>
      <c r="AF68" s="600">
        <v>0</v>
      </c>
      <c r="AG68" s="600">
        <v>0</v>
      </c>
      <c r="AH68" s="600">
        <v>0</v>
      </c>
      <c r="AI68" s="600">
        <v>0</v>
      </c>
      <c r="AJ68" s="604">
        <f t="shared" ref="AJ68:AJ89" si="530">+SUM(L68:AI68)</f>
        <v>1</v>
      </c>
      <c r="AK68" s="602">
        <f t="shared" ref="AK68:AK89" si="531">IF((($C$7-$E68)&lt;=$H68),(($I68-$J68)/$H68*L68),0)</f>
        <v>0</v>
      </c>
      <c r="AL68" s="596">
        <f t="shared" ref="AL68:AL80" si="532">IF((($C$7-$E68)&lt;=$H68),(($I68-$J68)/$H68*M68),0)</f>
        <v>0</v>
      </c>
      <c r="AM68" s="596">
        <f t="shared" ref="AM68:AM80" si="533">IF((($C$7-$E68)&lt;=$H68),(($I68-$J68)/$H68*N68),0)</f>
        <v>0</v>
      </c>
      <c r="AN68" s="596">
        <f t="shared" ref="AN68:AO85" si="534">IF((($C$7-$E68)&lt;=$H68),(($I68-$J68)/$H68*O68),0)</f>
        <v>0</v>
      </c>
      <c r="AO68" s="596">
        <f t="shared" si="534"/>
        <v>0</v>
      </c>
      <c r="AP68" s="596">
        <f t="shared" ref="AP68:AP85" si="535">IF((($C$7-$E68)&lt;=$H68),(($I68-$J68)/$H68*Q68),0)</f>
        <v>0</v>
      </c>
      <c r="AQ68" s="596">
        <f t="shared" ref="AQ68:AQ85" si="536">IF((($C$7-$E68)&lt;=$H68),(($I68-$J68)/$H68*R68),0)</f>
        <v>0</v>
      </c>
      <c r="AR68" s="596">
        <f t="shared" ref="AR68:AR85" si="537">IF((($C$7-$E68)&lt;=$H68),(($I68-$J68)/$H68*S68),0)</f>
        <v>0</v>
      </c>
      <c r="AS68" s="596">
        <f t="shared" ref="AS68:AS85" si="538">IF((($C$7-$E68)&lt;=$H68),(($I68-$J68)/$H68*T68),0)</f>
        <v>0</v>
      </c>
      <c r="AT68" s="596">
        <f t="shared" ref="AT68:AT85" si="539">IF((($C$7-$E68)&lt;=$H68),(($I68-$J68)/$H68*U68),0)</f>
        <v>0</v>
      </c>
      <c r="AU68" s="596">
        <f t="shared" ref="AU68:AU85" si="540">IF((($C$7-$E68)&lt;=$H68),(($I68-$J68)/$H68*V68),0)</f>
        <v>0</v>
      </c>
      <c r="AV68" s="596">
        <f t="shared" ref="AV68:AV89" si="541">IF((($C$7-$E68)&lt;=$H68),(($I68-$J68)/$H68*W68),0)</f>
        <v>50</v>
      </c>
      <c r="AW68" s="596">
        <f t="shared" ref="AW68:AW77" si="542">IF((($C$7-$E68)&lt;=$H68),(($I68-$J68)/$H68*X68),0)</f>
        <v>0</v>
      </c>
      <c r="AX68" s="596">
        <f t="shared" ref="AX68:AX77" si="543">IF((($C$7-$E68)&lt;=$H68),(($I68-$J68)/$H68*Y68),0)</f>
        <v>0</v>
      </c>
      <c r="AY68" s="596">
        <f t="shared" ref="AY68:AY77" si="544">IF((($C$7-$E68)&lt;=$H68),(($I68-$J68)/$H68*Z68),0)</f>
        <v>0</v>
      </c>
      <c r="AZ68" s="596">
        <f t="shared" ref="AZ68:AZ89" si="545">IF((($C$7-$E68)&lt;=$H68),(($I68-$J68)/$H68*AA68),0)</f>
        <v>0</v>
      </c>
      <c r="BA68" s="596">
        <f t="shared" ref="BA68:BA89" si="546">IF((($C$7-$E68)&lt;=$H68),(($I68-$J68)/$H68*AB68),0)</f>
        <v>0</v>
      </c>
      <c r="BB68" s="596">
        <f t="shared" ref="BB68:BB89" si="547">IF((($C$7-$E68)&lt;=$H68),(($I68-$J68)/$H68*AC68),0)</f>
        <v>0</v>
      </c>
      <c r="BC68" s="596">
        <f t="shared" ref="BC68:BC89" si="548">IF((($C$7-$E68)&lt;=$H68),(($I68-$J68)/$H68*AD68),0)</f>
        <v>0</v>
      </c>
      <c r="BD68" s="596">
        <f t="shared" ref="BD68:BD89" si="549">IF((($C$7-$E68)&lt;=$H68),(($I68-$J68)/$H68*AE68),0)</f>
        <v>0</v>
      </c>
      <c r="BE68" s="596">
        <f t="shared" ref="BE68:BE85" si="550">IF((($C$7-$E68)&lt;=$H68),(($I68-$J68)/$H68*AF68),0)</f>
        <v>0</v>
      </c>
      <c r="BF68" s="596">
        <f t="shared" ref="BF68:BF85" si="551">IF((($C$7-$E68)&lt;=$H68),(($I68-$J68)/$H68*AG68),0)</f>
        <v>0</v>
      </c>
      <c r="BG68" s="596">
        <f t="shared" ref="BG68:BG89" si="552">IF((($C$7-$E68)&lt;=$H68),(($I68-$J68)/$H68*AH68),0)</f>
        <v>0</v>
      </c>
      <c r="BH68" s="596">
        <f t="shared" ref="BH68:BH89" si="553">IF((($C$7-$E68)&lt;=$H68),(($I68-$J68)/$H68*AI68),0)</f>
        <v>0</v>
      </c>
      <c r="BI68" s="602">
        <f t="shared" ref="BI68:BI89" si="554">IF(($C$7-$E68&lt;=$H68),(($I68+$J68)/2*$C$8*L68),0)</f>
        <v>0</v>
      </c>
      <c r="BJ68" s="596">
        <f t="shared" ref="BJ68:BJ82" si="555">IF(($C$7-$E68&lt;=$H68),(($I68+$J68)/2*$C$8*M68),0)</f>
        <v>0</v>
      </c>
      <c r="BK68" s="596">
        <f t="shared" ref="BK68:BK82" si="556">IF(($C$7-$E68&lt;=$H68),(($I68+$J68)/2*$C$8*N68),0)</f>
        <v>0</v>
      </c>
      <c r="BL68" s="596">
        <f t="shared" ref="BL68:BM82" si="557">IF(($C$7-$E68&lt;=$H68),(($I68+$J68)/2*$C$8*O68),0)</f>
        <v>0</v>
      </c>
      <c r="BM68" s="596">
        <f t="shared" si="557"/>
        <v>0</v>
      </c>
      <c r="BN68" s="596">
        <f t="shared" ref="BN68:BN82" si="558">IF(($C$7-$E68&lt;=$H68),(($I68+$J68)/2*$C$8*Q68),0)</f>
        <v>0</v>
      </c>
      <c r="BO68" s="596">
        <f t="shared" ref="BO68:BO82" si="559">IF(($C$7-$E68&lt;=$H68),(($I68+$J68)/2*$C$8*R68),0)</f>
        <v>0</v>
      </c>
      <c r="BP68" s="596">
        <f t="shared" ref="BP68:BP82" si="560">IF(($C$7-$E68&lt;=$H68),(($I68+$J68)/2*$C$8*S68),0)</f>
        <v>0</v>
      </c>
      <c r="BQ68" s="596">
        <f t="shared" ref="BQ68:BQ82" si="561">IF(($C$7-$E68&lt;=$H68),(($I68+$J68)/2*$C$8*T68),0)</f>
        <v>0</v>
      </c>
      <c r="BR68" s="596">
        <f t="shared" ref="BR68:BR82" si="562">IF(($C$7-$E68&lt;=$H68),(($I68+$J68)/2*$C$8*U68),0)</f>
        <v>0</v>
      </c>
      <c r="BS68" s="596">
        <f t="shared" ref="BS68:BS82" si="563">IF(($C$7-$E68&lt;=$H68),(($I68+$J68)/2*$C$8*V68),0)</f>
        <v>0</v>
      </c>
      <c r="BT68" s="596">
        <f t="shared" ref="BT68:BT89" si="564">IF(($C$7-$E68&lt;=$H68),(($I68+$J68)/2*$C$8*W68),0)</f>
        <v>12.5</v>
      </c>
      <c r="BU68" s="596">
        <f t="shared" ref="BU68:BU89" si="565">IF(($C$7-$E68&lt;=$H68),(($I68+$J68)/2*$C$8*X68),0)</f>
        <v>0</v>
      </c>
      <c r="BV68" s="596">
        <f t="shared" ref="BV68:BV89" si="566">IF(($C$7-$E68&lt;=$H68),(($I68+$J68)/2*$C$8*Y68),0)</f>
        <v>0</v>
      </c>
      <c r="BW68" s="596">
        <f t="shared" ref="BW68:BW89" si="567">IF(($C$7-$E68&lt;=$H68),(($I68+$J68)/2*$C$8*Z68),0)</f>
        <v>0</v>
      </c>
      <c r="BX68" s="596">
        <f t="shared" ref="BX68:BX89" si="568">IF(($C$7-$E68&lt;=$H68),(($I68+$J68)/2*$C$8*AA68),0)</f>
        <v>0</v>
      </c>
      <c r="BY68" s="596">
        <f t="shared" ref="BY68:BY89" si="569">IF(($C$7-$E68&lt;=$H68),(($I68+$J68)/2*$C$8*AB68),0)</f>
        <v>0</v>
      </c>
      <c r="BZ68" s="596">
        <f t="shared" ref="BZ68:BZ89" si="570">IF(($C$7-$E68&lt;=$H68),(($I68+$J68)/2*$C$8*AC68),0)</f>
        <v>0</v>
      </c>
      <c r="CA68" s="596">
        <f t="shared" ref="CA68:CA89" si="571">IF(($C$7-$E68&lt;=$H68),(($I68+$J68)/2*$C$8*AD68),0)</f>
        <v>0</v>
      </c>
      <c r="CB68" s="596">
        <f t="shared" ref="CB68:CB89" si="572">IF(($C$7-$E68&lt;=$H68),(($I68+$J68)/2*$C$8*AE68),0)</f>
        <v>0</v>
      </c>
      <c r="CC68" s="596">
        <f t="shared" ref="CC68:CC82" si="573">IF(($C$7-$E68&lt;=$H68),(($I68+$J68)/2*$C$8*AF68),0)</f>
        <v>0</v>
      </c>
      <c r="CD68" s="596">
        <f t="shared" ref="CD68:CD82" si="574">IF(($C$7-$E68&lt;=$H68),(($I68+$J68)/2*$C$8*AG68),0)</f>
        <v>0</v>
      </c>
      <c r="CE68" s="596">
        <f t="shared" ref="CE68:CE89" si="575">IF(($C$7-$E68&lt;=$H68),(($I68+$J68)/2*$C$8*AH68),0)</f>
        <v>0</v>
      </c>
      <c r="CF68" s="596">
        <f t="shared" ref="CF68:CF89" si="576">IF(($C$7-$E68&lt;=$H68),(($I68+$J68)/2*$C$8*AI68),0)</f>
        <v>0</v>
      </c>
      <c r="CG68" s="602">
        <f t="shared" ref="CG68:CG89" si="577">$I68*$K68*L68</f>
        <v>0</v>
      </c>
      <c r="CH68" s="596">
        <f t="shared" ref="CH68:CH80" si="578">$I68*$K68*M68</f>
        <v>0</v>
      </c>
      <c r="CI68" s="596">
        <f t="shared" ref="CI68:CI80" si="579">$I68*$K68*N68</f>
        <v>0</v>
      </c>
      <c r="CJ68" s="596">
        <f t="shared" ref="CJ68:CK80" si="580">$I68*$K68*O68</f>
        <v>0</v>
      </c>
      <c r="CK68" s="596">
        <f t="shared" si="580"/>
        <v>0</v>
      </c>
      <c r="CL68" s="596">
        <f t="shared" ref="CL68:CL80" si="581">$I68*$K68*Q68</f>
        <v>0</v>
      </c>
      <c r="CM68" s="596">
        <f t="shared" ref="CM68:CM80" si="582">$I68*$K68*R68</f>
        <v>0</v>
      </c>
      <c r="CN68" s="596">
        <f t="shared" ref="CN68:CN80" si="583">$I68*$K68*S68</f>
        <v>0</v>
      </c>
      <c r="CO68" s="596">
        <f t="shared" ref="CO68:CO80" si="584">$I68*$K68*T68</f>
        <v>0</v>
      </c>
      <c r="CP68" s="596">
        <f t="shared" ref="CP68:CP80" si="585">$I68*$K68*U68</f>
        <v>0</v>
      </c>
      <c r="CQ68" s="596">
        <f t="shared" ref="CQ68:CQ80" si="586">$I68*$K68*V68</f>
        <v>0</v>
      </c>
      <c r="CR68" s="596">
        <f t="shared" ref="CR68:CR89" si="587">$I68*$K68*W68</f>
        <v>25</v>
      </c>
      <c r="CS68" s="596">
        <f t="shared" ref="CS68:CS89" si="588">$I68*$K68*X68</f>
        <v>0</v>
      </c>
      <c r="CT68" s="596">
        <f t="shared" ref="CT68:CT89" si="589">$I68*$K68*Y68</f>
        <v>0</v>
      </c>
      <c r="CU68" s="596">
        <f t="shared" ref="CU68:CU89" si="590">$I68*$K68*Z68</f>
        <v>0</v>
      </c>
      <c r="CV68" s="596">
        <f t="shared" ref="CV68:CV89" si="591">$I68*$K68*AA68</f>
        <v>0</v>
      </c>
      <c r="CW68" s="596">
        <f t="shared" ref="CW68:CW89" si="592">$I68*$K68*AB68</f>
        <v>0</v>
      </c>
      <c r="CX68" s="596">
        <f t="shared" ref="CX68:CX89" si="593">$I68*$K68*AC68</f>
        <v>0</v>
      </c>
      <c r="CY68" s="596">
        <f t="shared" ref="CY68:CY89" si="594">$I68*$K68*AD68</f>
        <v>0</v>
      </c>
      <c r="CZ68" s="596">
        <f t="shared" ref="CZ68:CZ89" si="595">$I68*$K68*AE68</f>
        <v>0</v>
      </c>
      <c r="DA68" s="596">
        <f t="shared" ref="DA68:DA80" si="596">$I68*$K68*AF68</f>
        <v>0</v>
      </c>
      <c r="DB68" s="596">
        <f t="shared" ref="DB68:DB80" si="597">$I68*$K68*AG68</f>
        <v>0</v>
      </c>
      <c r="DC68" s="596">
        <f t="shared" ref="DC68:DC89" si="598">$I68*$K68*AH68</f>
        <v>0</v>
      </c>
      <c r="DD68" s="596">
        <f t="shared" ref="DD68:DD89" si="599">$I68*$K68*AI68</f>
        <v>0</v>
      </c>
      <c r="DE68" s="602">
        <f t="shared" ref="DE68:DE89" si="600">$I68*$C$9*L68</f>
        <v>0</v>
      </c>
      <c r="DF68" s="596"/>
      <c r="DG68" s="596">
        <f t="shared" ref="DG68:DG89" si="601">$I68*$C$9*N68</f>
        <v>0</v>
      </c>
      <c r="DH68" s="596">
        <f t="shared" ref="DH68:DI80" si="602">$I68*$C$9*O68</f>
        <v>0</v>
      </c>
      <c r="DI68" s="596">
        <f t="shared" si="602"/>
        <v>0</v>
      </c>
      <c r="DJ68" s="596">
        <f t="shared" ref="DJ68:DJ80" si="603">$I68*$C$9*Q68</f>
        <v>0</v>
      </c>
      <c r="DK68" s="596">
        <f t="shared" ref="DK68:DK80" si="604">$I68*$C$9*R68</f>
        <v>0</v>
      </c>
      <c r="DL68" s="596">
        <f t="shared" ref="DL68:DL80" si="605">$I68*$C$9*S68</f>
        <v>0</v>
      </c>
      <c r="DM68" s="596">
        <f t="shared" ref="DM68:DM80" si="606">$I68*$C$9*T68</f>
        <v>0</v>
      </c>
      <c r="DN68" s="596">
        <f t="shared" ref="DN68:DN80" si="607">$I68*$C$9*U68</f>
        <v>0</v>
      </c>
      <c r="DO68" s="596">
        <f t="shared" ref="DO68:DO80" si="608">$I68*$C$9*V68</f>
        <v>0</v>
      </c>
      <c r="DP68" s="596">
        <f t="shared" ref="DP68:DP89" si="609">$I68*$C$9*W68</f>
        <v>1</v>
      </c>
      <c r="DQ68" s="596">
        <f t="shared" ref="DQ68:DQ89" si="610">$I68*$C$9*X68</f>
        <v>0</v>
      </c>
      <c r="DR68" s="596">
        <f t="shared" ref="DR68:DR89" si="611">$I68*$C$9*Y68</f>
        <v>0</v>
      </c>
      <c r="DS68" s="596">
        <f t="shared" ref="DS68:DS89" si="612">$I68*$C$9*Z68</f>
        <v>0</v>
      </c>
      <c r="DT68" s="596">
        <f t="shared" ref="DT68:DT89" si="613">$I68*$C$9*AA68</f>
        <v>0</v>
      </c>
      <c r="DU68" s="596">
        <f t="shared" ref="DU68:DU89" si="614">$I68*$C$9*AB68</f>
        <v>0</v>
      </c>
      <c r="DV68" s="596">
        <f t="shared" ref="DV68:DV89" si="615">$I68*$C$9*AC68</f>
        <v>0</v>
      </c>
      <c r="DW68" s="596">
        <f t="shared" ref="DW68:DW89" si="616">$I68*$C$9*AD68</f>
        <v>0</v>
      </c>
      <c r="DX68" s="596">
        <f t="shared" ref="DX68:DX89" si="617">$I68*$C$9*AE68</f>
        <v>0</v>
      </c>
      <c r="DY68" s="596">
        <f t="shared" ref="DY68:DY80" si="618">$I68*$C$9*AF68</f>
        <v>0</v>
      </c>
      <c r="DZ68" s="596">
        <f t="shared" ref="DZ68:DZ80" si="619">$I68*$C$9*AG68</f>
        <v>0</v>
      </c>
      <c r="EA68" s="596">
        <f t="shared" ref="EA68:EA89" si="620">$I68*$C$9*AH68</f>
        <v>0</v>
      </c>
      <c r="EB68" s="603">
        <f t="shared" ref="EB68:EB89" si="621">$I68*$C$9*AI68</f>
        <v>0</v>
      </c>
    </row>
    <row r="69" spans="1:132" s="594" customFormat="1" ht="13.8" thickBot="1" x14ac:dyDescent="0.3">
      <c r="B69" s="594" t="str">
        <f>'Gårdens info'!C121</f>
        <v>Fin-lava</v>
      </c>
      <c r="C69" s="596">
        <f>'Gårdens info'!D121</f>
        <v>8</v>
      </c>
      <c r="D69" s="594" t="s">
        <v>246</v>
      </c>
      <c r="E69" s="596">
        <v>2024</v>
      </c>
      <c r="F69" s="596">
        <f>'Gårdens info'!G121</f>
        <v>40</v>
      </c>
      <c r="G69" s="611" t="s">
        <v>31</v>
      </c>
      <c r="H69" s="612">
        <v>5</v>
      </c>
      <c r="I69" s="594">
        <f>C69*F69</f>
        <v>320</v>
      </c>
      <c r="J69" s="597">
        <v>0</v>
      </c>
      <c r="K69" s="598">
        <v>0.05</v>
      </c>
      <c r="L69"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69" s="600">
        <v>0</v>
      </c>
      <c r="N69"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69"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69"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69"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69"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69"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69"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69"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69"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69"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69"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69"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69"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69"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69"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69"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69" s="600">
        <v>0</v>
      </c>
      <c r="AE69" s="600">
        <v>0</v>
      </c>
      <c r="AF69" s="600">
        <v>0</v>
      </c>
      <c r="AG69" s="600">
        <v>0</v>
      </c>
      <c r="AH69" s="600">
        <v>0</v>
      </c>
      <c r="AI69" s="600">
        <v>0</v>
      </c>
      <c r="AJ69" s="604">
        <f t="shared" si="530"/>
        <v>1</v>
      </c>
      <c r="AK69" s="602">
        <f t="shared" si="531"/>
        <v>17.297297297297298</v>
      </c>
      <c r="AL69" s="596">
        <f t="shared" si="532"/>
        <v>0</v>
      </c>
      <c r="AM69" s="596">
        <f t="shared" si="533"/>
        <v>17.297297297297298</v>
      </c>
      <c r="AN69" s="596">
        <f t="shared" si="534"/>
        <v>3.4594594594594597</v>
      </c>
      <c r="AO69" s="596">
        <f t="shared" si="534"/>
        <v>8.6486486486486491</v>
      </c>
      <c r="AP69" s="596">
        <f t="shared" si="535"/>
        <v>3.4594594594594597</v>
      </c>
      <c r="AQ69" s="596">
        <f t="shared" si="536"/>
        <v>0</v>
      </c>
      <c r="AR69" s="596">
        <f t="shared" si="537"/>
        <v>0</v>
      </c>
      <c r="AS69" s="596">
        <f t="shared" si="538"/>
        <v>0</v>
      </c>
      <c r="AT69" s="596">
        <f t="shared" si="539"/>
        <v>0</v>
      </c>
      <c r="AU69" s="596">
        <f t="shared" si="540"/>
        <v>0</v>
      </c>
      <c r="AV69" s="596">
        <f t="shared" si="541"/>
        <v>5.1891891891891895</v>
      </c>
      <c r="AW69" s="596">
        <f t="shared" si="542"/>
        <v>0</v>
      </c>
      <c r="AX69" s="596">
        <f t="shared" si="543"/>
        <v>0</v>
      </c>
      <c r="AY69" s="596">
        <f t="shared" si="544"/>
        <v>0</v>
      </c>
      <c r="AZ69" s="596">
        <f t="shared" si="545"/>
        <v>0</v>
      </c>
      <c r="BA69" s="596">
        <f t="shared" si="546"/>
        <v>0</v>
      </c>
      <c r="BB69" s="596">
        <f t="shared" si="547"/>
        <v>8.6486486486486491</v>
      </c>
      <c r="BC69" s="596">
        <f t="shared" si="548"/>
        <v>0</v>
      </c>
      <c r="BD69" s="596">
        <f t="shared" si="549"/>
        <v>0</v>
      </c>
      <c r="BE69" s="596">
        <f t="shared" si="550"/>
        <v>0</v>
      </c>
      <c r="BF69" s="596">
        <f t="shared" si="551"/>
        <v>0</v>
      </c>
      <c r="BG69" s="596">
        <f t="shared" si="552"/>
        <v>0</v>
      </c>
      <c r="BH69" s="596">
        <f t="shared" si="553"/>
        <v>0</v>
      </c>
      <c r="BI69" s="602">
        <f t="shared" si="554"/>
        <v>2.1621621621621623</v>
      </c>
      <c r="BJ69" s="596">
        <f t="shared" si="555"/>
        <v>0</v>
      </c>
      <c r="BK69" s="596">
        <f t="shared" si="556"/>
        <v>2.1621621621621623</v>
      </c>
      <c r="BL69" s="596">
        <f t="shared" si="557"/>
        <v>0.43243243243243246</v>
      </c>
      <c r="BM69" s="596">
        <f t="shared" si="557"/>
        <v>1.0810810810810811</v>
      </c>
      <c r="BN69" s="596">
        <f t="shared" si="558"/>
        <v>0.43243243243243246</v>
      </c>
      <c r="BO69" s="596">
        <f t="shared" si="559"/>
        <v>0</v>
      </c>
      <c r="BP69" s="596">
        <f t="shared" si="560"/>
        <v>0</v>
      </c>
      <c r="BQ69" s="596">
        <f t="shared" si="561"/>
        <v>0</v>
      </c>
      <c r="BR69" s="596">
        <f t="shared" si="562"/>
        <v>0</v>
      </c>
      <c r="BS69" s="596">
        <f t="shared" si="563"/>
        <v>0</v>
      </c>
      <c r="BT69" s="596">
        <f t="shared" si="564"/>
        <v>0.64864864864864868</v>
      </c>
      <c r="BU69" s="596">
        <f t="shared" si="565"/>
        <v>0</v>
      </c>
      <c r="BV69" s="596">
        <f t="shared" si="566"/>
        <v>0</v>
      </c>
      <c r="BW69" s="596">
        <f t="shared" si="567"/>
        <v>0</v>
      </c>
      <c r="BX69" s="596">
        <f t="shared" si="568"/>
        <v>0</v>
      </c>
      <c r="BY69" s="596">
        <f t="shared" si="569"/>
        <v>0</v>
      </c>
      <c r="BZ69" s="596">
        <f t="shared" si="570"/>
        <v>1.0810810810810811</v>
      </c>
      <c r="CA69" s="596">
        <f t="shared" si="571"/>
        <v>0</v>
      </c>
      <c r="CB69" s="596">
        <f t="shared" si="572"/>
        <v>0</v>
      </c>
      <c r="CC69" s="596">
        <f t="shared" si="573"/>
        <v>0</v>
      </c>
      <c r="CD69" s="596">
        <f t="shared" si="574"/>
        <v>0</v>
      </c>
      <c r="CE69" s="596">
        <f t="shared" si="575"/>
        <v>0</v>
      </c>
      <c r="CF69" s="596">
        <f t="shared" si="576"/>
        <v>0</v>
      </c>
      <c r="CG69" s="602">
        <f t="shared" si="577"/>
        <v>4.3243243243243246</v>
      </c>
      <c r="CH69" s="596">
        <f t="shared" si="578"/>
        <v>0</v>
      </c>
      <c r="CI69" s="596">
        <f t="shared" si="579"/>
        <v>4.3243243243243246</v>
      </c>
      <c r="CJ69" s="596">
        <f t="shared" si="580"/>
        <v>0.86486486486486491</v>
      </c>
      <c r="CK69" s="596">
        <f t="shared" si="580"/>
        <v>2.1621621621621623</v>
      </c>
      <c r="CL69" s="596">
        <f t="shared" si="581"/>
        <v>0.86486486486486491</v>
      </c>
      <c r="CM69" s="596">
        <f t="shared" si="582"/>
        <v>0</v>
      </c>
      <c r="CN69" s="596">
        <f t="shared" si="583"/>
        <v>0</v>
      </c>
      <c r="CO69" s="596">
        <f t="shared" si="584"/>
        <v>0</v>
      </c>
      <c r="CP69" s="596">
        <f t="shared" si="585"/>
        <v>0</v>
      </c>
      <c r="CQ69" s="596">
        <f t="shared" si="586"/>
        <v>0</v>
      </c>
      <c r="CR69" s="596">
        <f t="shared" si="587"/>
        <v>1.2972972972972974</v>
      </c>
      <c r="CS69" s="596">
        <f t="shared" si="588"/>
        <v>0</v>
      </c>
      <c r="CT69" s="596">
        <f t="shared" si="589"/>
        <v>0</v>
      </c>
      <c r="CU69" s="596">
        <f t="shared" si="590"/>
        <v>0</v>
      </c>
      <c r="CV69" s="596">
        <f t="shared" si="591"/>
        <v>0</v>
      </c>
      <c r="CW69" s="596">
        <f t="shared" si="592"/>
        <v>0</v>
      </c>
      <c r="CX69" s="596">
        <f t="shared" si="593"/>
        <v>2.1621621621621623</v>
      </c>
      <c r="CY69" s="596">
        <f t="shared" si="594"/>
        <v>0</v>
      </c>
      <c r="CZ69" s="596">
        <f t="shared" si="595"/>
        <v>0</v>
      </c>
      <c r="DA69" s="596">
        <f t="shared" si="596"/>
        <v>0</v>
      </c>
      <c r="DB69" s="596">
        <f t="shared" si="597"/>
        <v>0</v>
      </c>
      <c r="DC69" s="596">
        <f t="shared" si="598"/>
        <v>0</v>
      </c>
      <c r="DD69" s="596">
        <f t="shared" si="599"/>
        <v>0</v>
      </c>
      <c r="DE69" s="602">
        <f t="shared" si="600"/>
        <v>0.17297297297297298</v>
      </c>
      <c r="DF69" s="596"/>
      <c r="DG69" s="596">
        <f t="shared" si="601"/>
        <v>0.17297297297297298</v>
      </c>
      <c r="DH69" s="596">
        <f t="shared" si="602"/>
        <v>3.4594594594594595E-2</v>
      </c>
      <c r="DI69" s="596">
        <f t="shared" si="602"/>
        <v>8.6486486486486491E-2</v>
      </c>
      <c r="DJ69" s="596">
        <f t="shared" si="603"/>
        <v>3.4594594594594595E-2</v>
      </c>
      <c r="DK69" s="596">
        <f t="shared" si="604"/>
        <v>0</v>
      </c>
      <c r="DL69" s="596">
        <f t="shared" si="605"/>
        <v>0</v>
      </c>
      <c r="DM69" s="596">
        <f t="shared" si="606"/>
        <v>0</v>
      </c>
      <c r="DN69" s="596">
        <f t="shared" si="607"/>
        <v>0</v>
      </c>
      <c r="DO69" s="596">
        <f t="shared" si="608"/>
        <v>0</v>
      </c>
      <c r="DP69" s="596">
        <f t="shared" si="609"/>
        <v>5.1891891891891896E-2</v>
      </c>
      <c r="DQ69" s="596">
        <f t="shared" si="610"/>
        <v>0</v>
      </c>
      <c r="DR69" s="596">
        <f t="shared" si="611"/>
        <v>0</v>
      </c>
      <c r="DS69" s="596">
        <f t="shared" si="612"/>
        <v>0</v>
      </c>
      <c r="DT69" s="596">
        <f t="shared" si="613"/>
        <v>0</v>
      </c>
      <c r="DU69" s="596">
        <f t="shared" si="614"/>
        <v>0</v>
      </c>
      <c r="DV69" s="596">
        <f t="shared" si="615"/>
        <v>8.6486486486486491E-2</v>
      </c>
      <c r="DW69" s="596">
        <f t="shared" si="616"/>
        <v>0</v>
      </c>
      <c r="DX69" s="596">
        <f t="shared" si="617"/>
        <v>0</v>
      </c>
      <c r="DY69" s="596">
        <f t="shared" si="618"/>
        <v>0</v>
      </c>
      <c r="DZ69" s="596">
        <f t="shared" si="619"/>
        <v>0</v>
      </c>
      <c r="EA69" s="596">
        <f t="shared" si="620"/>
        <v>0</v>
      </c>
      <c r="EB69" s="603">
        <f t="shared" si="621"/>
        <v>0</v>
      </c>
    </row>
    <row r="70" spans="1:132" s="594" customFormat="1" ht="13.8" thickBot="1" x14ac:dyDescent="0.3">
      <c r="B70" s="594" t="str">
        <f>'Gårdens info'!C122</f>
        <v>Våg</v>
      </c>
      <c r="C70" s="596">
        <f>'Gårdens info'!D122</f>
        <v>200</v>
      </c>
      <c r="D70" s="594" t="s">
        <v>246</v>
      </c>
      <c r="E70" s="596">
        <v>2024</v>
      </c>
      <c r="F70" s="596">
        <f>'Gårdens info'!G122</f>
        <v>4</v>
      </c>
      <c r="G70" s="611" t="s">
        <v>31</v>
      </c>
      <c r="H70" s="612">
        <v>10</v>
      </c>
      <c r="I70" s="594">
        <f>C70*F70</f>
        <v>800</v>
      </c>
      <c r="J70" s="597">
        <v>0</v>
      </c>
      <c r="K70" s="598">
        <v>0.05</v>
      </c>
      <c r="L70"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0" s="600">
        <v>0</v>
      </c>
      <c r="N70"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0"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0"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0"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0"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0"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0"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0"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0"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0"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0"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0"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0"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0"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0"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0"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0" s="600">
        <v>0</v>
      </c>
      <c r="AE70" s="600">
        <v>0</v>
      </c>
      <c r="AF70" s="600">
        <v>0</v>
      </c>
      <c r="AG70" s="600">
        <v>0</v>
      </c>
      <c r="AH70" s="600">
        <v>0</v>
      </c>
      <c r="AI70" s="600">
        <v>0</v>
      </c>
      <c r="AJ70" s="604">
        <f t="shared" si="530"/>
        <v>1</v>
      </c>
      <c r="AK70" s="602">
        <f t="shared" si="531"/>
        <v>21.621621621621621</v>
      </c>
      <c r="AL70" s="596">
        <f t="shared" si="532"/>
        <v>0</v>
      </c>
      <c r="AM70" s="596">
        <f t="shared" si="533"/>
        <v>21.621621621621621</v>
      </c>
      <c r="AN70" s="596">
        <f t="shared" si="534"/>
        <v>4.3243243243243246</v>
      </c>
      <c r="AO70" s="596">
        <f t="shared" si="534"/>
        <v>10.810810810810811</v>
      </c>
      <c r="AP70" s="596">
        <f t="shared" si="535"/>
        <v>4.3243243243243246</v>
      </c>
      <c r="AQ70" s="596">
        <f t="shared" si="536"/>
        <v>0</v>
      </c>
      <c r="AR70" s="596">
        <f t="shared" si="537"/>
        <v>0</v>
      </c>
      <c r="AS70" s="596">
        <f t="shared" si="538"/>
        <v>0</v>
      </c>
      <c r="AT70" s="596">
        <f t="shared" si="539"/>
        <v>0</v>
      </c>
      <c r="AU70" s="596">
        <f t="shared" si="540"/>
        <v>0</v>
      </c>
      <c r="AV70" s="596">
        <f t="shared" si="541"/>
        <v>6.4864864864864868</v>
      </c>
      <c r="AW70" s="596">
        <f t="shared" si="542"/>
        <v>0</v>
      </c>
      <c r="AX70" s="596">
        <f t="shared" si="543"/>
        <v>0</v>
      </c>
      <c r="AY70" s="596">
        <f t="shared" si="544"/>
        <v>0</v>
      </c>
      <c r="AZ70" s="596">
        <f t="shared" si="545"/>
        <v>0</v>
      </c>
      <c r="BA70" s="596">
        <f t="shared" si="546"/>
        <v>0</v>
      </c>
      <c r="BB70" s="596">
        <f t="shared" si="547"/>
        <v>10.810810810810811</v>
      </c>
      <c r="BC70" s="596">
        <f t="shared" si="548"/>
        <v>0</v>
      </c>
      <c r="BD70" s="596">
        <f t="shared" si="549"/>
        <v>0</v>
      </c>
      <c r="BE70" s="596">
        <f t="shared" si="550"/>
        <v>0</v>
      </c>
      <c r="BF70" s="596">
        <f t="shared" si="551"/>
        <v>0</v>
      </c>
      <c r="BG70" s="596">
        <f t="shared" si="552"/>
        <v>0</v>
      </c>
      <c r="BH70" s="596">
        <f t="shared" si="553"/>
        <v>0</v>
      </c>
      <c r="BI70" s="602">
        <f t="shared" si="554"/>
        <v>5.4054054054054053</v>
      </c>
      <c r="BJ70" s="596">
        <f t="shared" si="555"/>
        <v>0</v>
      </c>
      <c r="BK70" s="596">
        <f t="shared" si="556"/>
        <v>5.4054054054054053</v>
      </c>
      <c r="BL70" s="596">
        <f t="shared" si="557"/>
        <v>1.0810810810810811</v>
      </c>
      <c r="BM70" s="596">
        <f t="shared" si="557"/>
        <v>2.7027027027027026</v>
      </c>
      <c r="BN70" s="596">
        <f t="shared" si="558"/>
        <v>1.0810810810810811</v>
      </c>
      <c r="BO70" s="596">
        <f t="shared" si="559"/>
        <v>0</v>
      </c>
      <c r="BP70" s="596">
        <f t="shared" si="560"/>
        <v>0</v>
      </c>
      <c r="BQ70" s="596">
        <f t="shared" si="561"/>
        <v>0</v>
      </c>
      <c r="BR70" s="596">
        <f t="shared" si="562"/>
        <v>0</v>
      </c>
      <c r="BS70" s="596">
        <f t="shared" si="563"/>
        <v>0</v>
      </c>
      <c r="BT70" s="596">
        <f t="shared" si="564"/>
        <v>1.6216216216216217</v>
      </c>
      <c r="BU70" s="596">
        <f t="shared" si="565"/>
        <v>0</v>
      </c>
      <c r="BV70" s="596">
        <f t="shared" si="566"/>
        <v>0</v>
      </c>
      <c r="BW70" s="596">
        <f t="shared" si="567"/>
        <v>0</v>
      </c>
      <c r="BX70" s="596">
        <f t="shared" si="568"/>
        <v>0</v>
      </c>
      <c r="BY70" s="596">
        <f t="shared" si="569"/>
        <v>0</v>
      </c>
      <c r="BZ70" s="596">
        <f t="shared" si="570"/>
        <v>2.7027027027027026</v>
      </c>
      <c r="CA70" s="596">
        <f t="shared" si="571"/>
        <v>0</v>
      </c>
      <c r="CB70" s="596">
        <f t="shared" si="572"/>
        <v>0</v>
      </c>
      <c r="CC70" s="596">
        <f t="shared" si="573"/>
        <v>0</v>
      </c>
      <c r="CD70" s="596">
        <f t="shared" si="574"/>
        <v>0</v>
      </c>
      <c r="CE70" s="596">
        <f t="shared" si="575"/>
        <v>0</v>
      </c>
      <c r="CF70" s="596">
        <f t="shared" si="576"/>
        <v>0</v>
      </c>
      <c r="CG70" s="602">
        <f t="shared" si="577"/>
        <v>10.810810810810811</v>
      </c>
      <c r="CH70" s="596">
        <f t="shared" si="578"/>
        <v>0</v>
      </c>
      <c r="CI70" s="596">
        <f t="shared" si="579"/>
        <v>10.810810810810811</v>
      </c>
      <c r="CJ70" s="596">
        <f t="shared" si="580"/>
        <v>2.1621621621621623</v>
      </c>
      <c r="CK70" s="596">
        <f t="shared" si="580"/>
        <v>5.4054054054054053</v>
      </c>
      <c r="CL70" s="596">
        <f t="shared" si="581"/>
        <v>2.1621621621621623</v>
      </c>
      <c r="CM70" s="596">
        <f t="shared" si="582"/>
        <v>0</v>
      </c>
      <c r="CN70" s="596">
        <f t="shared" si="583"/>
        <v>0</v>
      </c>
      <c r="CO70" s="596">
        <f t="shared" si="584"/>
        <v>0</v>
      </c>
      <c r="CP70" s="596">
        <f t="shared" si="585"/>
        <v>0</v>
      </c>
      <c r="CQ70" s="596">
        <f t="shared" si="586"/>
        <v>0</v>
      </c>
      <c r="CR70" s="596">
        <f t="shared" si="587"/>
        <v>3.2432432432432434</v>
      </c>
      <c r="CS70" s="596">
        <f t="shared" si="588"/>
        <v>0</v>
      </c>
      <c r="CT70" s="596">
        <f t="shared" si="589"/>
        <v>0</v>
      </c>
      <c r="CU70" s="596">
        <f t="shared" si="590"/>
        <v>0</v>
      </c>
      <c r="CV70" s="596">
        <f t="shared" si="591"/>
        <v>0</v>
      </c>
      <c r="CW70" s="596">
        <f t="shared" si="592"/>
        <v>0</v>
      </c>
      <c r="CX70" s="596">
        <f t="shared" si="593"/>
        <v>5.4054054054054053</v>
      </c>
      <c r="CY70" s="596">
        <f t="shared" si="594"/>
        <v>0</v>
      </c>
      <c r="CZ70" s="596">
        <f t="shared" si="595"/>
        <v>0</v>
      </c>
      <c r="DA70" s="596">
        <f t="shared" si="596"/>
        <v>0</v>
      </c>
      <c r="DB70" s="596">
        <f t="shared" si="597"/>
        <v>0</v>
      </c>
      <c r="DC70" s="596">
        <f t="shared" si="598"/>
        <v>0</v>
      </c>
      <c r="DD70" s="596">
        <f t="shared" si="599"/>
        <v>0</v>
      </c>
      <c r="DE70" s="602">
        <f t="shared" si="600"/>
        <v>0.43243243243243246</v>
      </c>
      <c r="DF70" s="596"/>
      <c r="DG70" s="596">
        <f t="shared" si="601"/>
        <v>0.43243243243243246</v>
      </c>
      <c r="DH70" s="596">
        <f t="shared" si="602"/>
        <v>8.6486486486486491E-2</v>
      </c>
      <c r="DI70" s="596">
        <f t="shared" si="602"/>
        <v>0.21621621621621623</v>
      </c>
      <c r="DJ70" s="596">
        <f t="shared" si="603"/>
        <v>8.6486486486486491E-2</v>
      </c>
      <c r="DK70" s="596">
        <f t="shared" si="604"/>
        <v>0</v>
      </c>
      <c r="DL70" s="596">
        <f t="shared" si="605"/>
        <v>0</v>
      </c>
      <c r="DM70" s="596">
        <f t="shared" si="606"/>
        <v>0</v>
      </c>
      <c r="DN70" s="596">
        <f t="shared" si="607"/>
        <v>0</v>
      </c>
      <c r="DO70" s="596">
        <f t="shared" si="608"/>
        <v>0</v>
      </c>
      <c r="DP70" s="596">
        <f t="shared" si="609"/>
        <v>0.12972972972972974</v>
      </c>
      <c r="DQ70" s="596">
        <f t="shared" si="610"/>
        <v>0</v>
      </c>
      <c r="DR70" s="596">
        <f t="shared" si="611"/>
        <v>0</v>
      </c>
      <c r="DS70" s="596">
        <f t="shared" si="612"/>
        <v>0</v>
      </c>
      <c r="DT70" s="596">
        <f t="shared" si="613"/>
        <v>0</v>
      </c>
      <c r="DU70" s="596">
        <f t="shared" si="614"/>
        <v>0</v>
      </c>
      <c r="DV70" s="596">
        <f t="shared" si="615"/>
        <v>0.21621621621621623</v>
      </c>
      <c r="DW70" s="596">
        <f t="shared" si="616"/>
        <v>0</v>
      </c>
      <c r="DX70" s="596">
        <f t="shared" si="617"/>
        <v>0</v>
      </c>
      <c r="DY70" s="596">
        <f t="shared" si="618"/>
        <v>0</v>
      </c>
      <c r="DZ70" s="596">
        <f t="shared" si="619"/>
        <v>0</v>
      </c>
      <c r="EA70" s="596">
        <f t="shared" si="620"/>
        <v>0</v>
      </c>
      <c r="EB70" s="603">
        <f t="shared" si="621"/>
        <v>0</v>
      </c>
    </row>
    <row r="71" spans="1:132" s="594" customFormat="1" ht="13.8" thickBot="1" x14ac:dyDescent="0.3">
      <c r="B71" s="594" t="str">
        <f>'Gårdens info'!C123</f>
        <v>Frostbekämpningsutrustning</v>
      </c>
      <c r="C71" s="596">
        <f>'Gårdens info'!D123</f>
        <v>5000</v>
      </c>
      <c r="D71" s="594" t="s">
        <v>246</v>
      </c>
      <c r="E71" s="596">
        <v>2024</v>
      </c>
      <c r="F71" s="596">
        <f>'Gårdens info'!G123</f>
        <v>1</v>
      </c>
      <c r="G71" s="611" t="s">
        <v>31</v>
      </c>
      <c r="H71" s="612">
        <v>10</v>
      </c>
      <c r="I71" s="594">
        <f>C71*F71</f>
        <v>5000</v>
      </c>
      <c r="J71" s="597">
        <v>0</v>
      </c>
      <c r="K71" s="598">
        <v>0.05</v>
      </c>
      <c r="L71"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1" s="600">
        <v>0</v>
      </c>
      <c r="N71"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1"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1"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1"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1"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1"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1"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1"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1"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1"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1"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1"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1"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1"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1"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1"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1" s="600">
        <v>0</v>
      </c>
      <c r="AE71" s="600">
        <v>0</v>
      </c>
      <c r="AF71" s="600">
        <v>0</v>
      </c>
      <c r="AG71" s="600">
        <v>0</v>
      </c>
      <c r="AH71" s="600">
        <v>0</v>
      </c>
      <c r="AI71" s="600">
        <v>0</v>
      </c>
      <c r="AJ71" s="604">
        <f t="shared" si="530"/>
        <v>1</v>
      </c>
      <c r="AK71" s="602">
        <f t="shared" si="531"/>
        <v>135.13513513513513</v>
      </c>
      <c r="AL71" s="596">
        <f t="shared" si="532"/>
        <v>0</v>
      </c>
      <c r="AM71" s="596">
        <f t="shared" si="533"/>
        <v>135.13513513513513</v>
      </c>
      <c r="AN71" s="596">
        <f t="shared" si="534"/>
        <v>27.027027027027028</v>
      </c>
      <c r="AO71" s="596">
        <f t="shared" si="534"/>
        <v>67.567567567567565</v>
      </c>
      <c r="AP71" s="596">
        <f t="shared" si="535"/>
        <v>27.027027027027028</v>
      </c>
      <c r="AQ71" s="596">
        <f t="shared" si="536"/>
        <v>0</v>
      </c>
      <c r="AR71" s="596">
        <f t="shared" si="537"/>
        <v>0</v>
      </c>
      <c r="AS71" s="596">
        <f t="shared" si="538"/>
        <v>0</v>
      </c>
      <c r="AT71" s="596">
        <f t="shared" si="539"/>
        <v>0</v>
      </c>
      <c r="AU71" s="596">
        <f t="shared" si="540"/>
        <v>0</v>
      </c>
      <c r="AV71" s="596">
        <f t="shared" si="541"/>
        <v>40.54054054054054</v>
      </c>
      <c r="AW71" s="596">
        <f t="shared" si="542"/>
        <v>0</v>
      </c>
      <c r="AX71" s="596">
        <f t="shared" si="543"/>
        <v>0</v>
      </c>
      <c r="AY71" s="596">
        <f t="shared" si="544"/>
        <v>0</v>
      </c>
      <c r="AZ71" s="596">
        <f t="shared" si="545"/>
        <v>0</v>
      </c>
      <c r="BA71" s="596">
        <f t="shared" si="546"/>
        <v>0</v>
      </c>
      <c r="BB71" s="596">
        <f t="shared" si="547"/>
        <v>67.567567567567565</v>
      </c>
      <c r="BC71" s="596">
        <f t="shared" si="548"/>
        <v>0</v>
      </c>
      <c r="BD71" s="596">
        <f t="shared" si="549"/>
        <v>0</v>
      </c>
      <c r="BE71" s="596">
        <f t="shared" si="550"/>
        <v>0</v>
      </c>
      <c r="BF71" s="596">
        <f t="shared" si="551"/>
        <v>0</v>
      </c>
      <c r="BG71" s="596">
        <f t="shared" si="552"/>
        <v>0</v>
      </c>
      <c r="BH71" s="596">
        <f t="shared" si="553"/>
        <v>0</v>
      </c>
      <c r="BI71" s="602">
        <f t="shared" si="554"/>
        <v>33.783783783783782</v>
      </c>
      <c r="BJ71" s="596">
        <f t="shared" si="555"/>
        <v>0</v>
      </c>
      <c r="BK71" s="596">
        <f t="shared" si="556"/>
        <v>33.783783783783782</v>
      </c>
      <c r="BL71" s="596">
        <f t="shared" si="557"/>
        <v>6.756756756756757</v>
      </c>
      <c r="BM71" s="596">
        <f t="shared" si="557"/>
        <v>16.891891891891891</v>
      </c>
      <c r="BN71" s="596">
        <f t="shared" si="558"/>
        <v>6.756756756756757</v>
      </c>
      <c r="BO71" s="596">
        <f t="shared" si="559"/>
        <v>0</v>
      </c>
      <c r="BP71" s="596">
        <f t="shared" si="560"/>
        <v>0</v>
      </c>
      <c r="BQ71" s="596">
        <f t="shared" si="561"/>
        <v>0</v>
      </c>
      <c r="BR71" s="596">
        <f t="shared" si="562"/>
        <v>0</v>
      </c>
      <c r="BS71" s="596">
        <f t="shared" si="563"/>
        <v>0</v>
      </c>
      <c r="BT71" s="596">
        <f t="shared" si="564"/>
        <v>10.135135135135135</v>
      </c>
      <c r="BU71" s="596">
        <f t="shared" si="565"/>
        <v>0</v>
      </c>
      <c r="BV71" s="596">
        <f t="shared" si="566"/>
        <v>0</v>
      </c>
      <c r="BW71" s="596">
        <f t="shared" si="567"/>
        <v>0</v>
      </c>
      <c r="BX71" s="596">
        <f t="shared" si="568"/>
        <v>0</v>
      </c>
      <c r="BY71" s="596">
        <f t="shared" si="569"/>
        <v>0</v>
      </c>
      <c r="BZ71" s="596">
        <f t="shared" si="570"/>
        <v>16.891891891891891</v>
      </c>
      <c r="CA71" s="596">
        <f t="shared" si="571"/>
        <v>0</v>
      </c>
      <c r="CB71" s="596">
        <f t="shared" si="572"/>
        <v>0</v>
      </c>
      <c r="CC71" s="596">
        <f t="shared" si="573"/>
        <v>0</v>
      </c>
      <c r="CD71" s="596">
        <f t="shared" si="574"/>
        <v>0</v>
      </c>
      <c r="CE71" s="596">
        <f t="shared" si="575"/>
        <v>0</v>
      </c>
      <c r="CF71" s="596">
        <f t="shared" si="576"/>
        <v>0</v>
      </c>
      <c r="CG71" s="602">
        <f t="shared" si="577"/>
        <v>67.567567567567565</v>
      </c>
      <c r="CH71" s="596">
        <f t="shared" si="578"/>
        <v>0</v>
      </c>
      <c r="CI71" s="596">
        <f t="shared" si="579"/>
        <v>67.567567567567565</v>
      </c>
      <c r="CJ71" s="596">
        <f t="shared" si="580"/>
        <v>13.513513513513514</v>
      </c>
      <c r="CK71" s="596">
        <f t="shared" si="580"/>
        <v>33.783783783783782</v>
      </c>
      <c r="CL71" s="596">
        <f t="shared" si="581"/>
        <v>13.513513513513514</v>
      </c>
      <c r="CM71" s="596">
        <f t="shared" si="582"/>
        <v>0</v>
      </c>
      <c r="CN71" s="596">
        <f t="shared" si="583"/>
        <v>0</v>
      </c>
      <c r="CO71" s="596">
        <f t="shared" si="584"/>
        <v>0</v>
      </c>
      <c r="CP71" s="596">
        <f t="shared" si="585"/>
        <v>0</v>
      </c>
      <c r="CQ71" s="596">
        <f t="shared" si="586"/>
        <v>0</v>
      </c>
      <c r="CR71" s="596">
        <f t="shared" si="587"/>
        <v>20.27027027027027</v>
      </c>
      <c r="CS71" s="596">
        <f t="shared" si="588"/>
        <v>0</v>
      </c>
      <c r="CT71" s="596">
        <f t="shared" si="589"/>
        <v>0</v>
      </c>
      <c r="CU71" s="596">
        <f t="shared" si="590"/>
        <v>0</v>
      </c>
      <c r="CV71" s="596">
        <f t="shared" si="591"/>
        <v>0</v>
      </c>
      <c r="CW71" s="596">
        <f t="shared" si="592"/>
        <v>0</v>
      </c>
      <c r="CX71" s="596">
        <f t="shared" si="593"/>
        <v>33.783783783783782</v>
      </c>
      <c r="CY71" s="596">
        <f t="shared" si="594"/>
        <v>0</v>
      </c>
      <c r="CZ71" s="596">
        <f t="shared" si="595"/>
        <v>0</v>
      </c>
      <c r="DA71" s="596">
        <f t="shared" si="596"/>
        <v>0</v>
      </c>
      <c r="DB71" s="596">
        <f t="shared" si="597"/>
        <v>0</v>
      </c>
      <c r="DC71" s="596">
        <f t="shared" si="598"/>
        <v>0</v>
      </c>
      <c r="DD71" s="596">
        <f t="shared" si="599"/>
        <v>0</v>
      </c>
      <c r="DE71" s="602">
        <f t="shared" si="600"/>
        <v>2.7027027027027026</v>
      </c>
      <c r="DF71" s="596"/>
      <c r="DG71" s="596">
        <f t="shared" si="601"/>
        <v>2.7027027027027026</v>
      </c>
      <c r="DH71" s="596">
        <f t="shared" si="602"/>
        <v>0.54054054054054057</v>
      </c>
      <c r="DI71" s="596">
        <f t="shared" si="602"/>
        <v>1.3513513513513513</v>
      </c>
      <c r="DJ71" s="596">
        <f t="shared" si="603"/>
        <v>0.54054054054054057</v>
      </c>
      <c r="DK71" s="596">
        <f t="shared" si="604"/>
        <v>0</v>
      </c>
      <c r="DL71" s="596">
        <f t="shared" si="605"/>
        <v>0</v>
      </c>
      <c r="DM71" s="596">
        <f t="shared" si="606"/>
        <v>0</v>
      </c>
      <c r="DN71" s="596">
        <f t="shared" si="607"/>
        <v>0</v>
      </c>
      <c r="DO71" s="596">
        <f t="shared" si="608"/>
        <v>0</v>
      </c>
      <c r="DP71" s="596">
        <f t="shared" si="609"/>
        <v>0.81081081081081086</v>
      </c>
      <c r="DQ71" s="596">
        <f t="shared" si="610"/>
        <v>0</v>
      </c>
      <c r="DR71" s="596">
        <f t="shared" si="611"/>
        <v>0</v>
      </c>
      <c r="DS71" s="596">
        <f t="shared" si="612"/>
        <v>0</v>
      </c>
      <c r="DT71" s="596">
        <f t="shared" si="613"/>
        <v>0</v>
      </c>
      <c r="DU71" s="596">
        <f t="shared" si="614"/>
        <v>0</v>
      </c>
      <c r="DV71" s="596">
        <f t="shared" si="615"/>
        <v>1.3513513513513513</v>
      </c>
      <c r="DW71" s="596">
        <f t="shared" si="616"/>
        <v>0</v>
      </c>
      <c r="DX71" s="596">
        <f t="shared" si="617"/>
        <v>0</v>
      </c>
      <c r="DY71" s="596">
        <f t="shared" si="618"/>
        <v>0</v>
      </c>
      <c r="DZ71" s="596">
        <f t="shared" si="619"/>
        <v>0</v>
      </c>
      <c r="EA71" s="596">
        <f t="shared" si="620"/>
        <v>0</v>
      </c>
      <c r="EB71" s="603">
        <f t="shared" si="621"/>
        <v>0</v>
      </c>
    </row>
    <row r="72" spans="1:132" s="594" customFormat="1" ht="13.8" thickBot="1" x14ac:dyDescent="0.3">
      <c r="B72" s="594" t="str">
        <f>'Gårdens info'!C124</f>
        <v>Droppbevattningsutrustning</v>
      </c>
      <c r="C72" s="596">
        <f>'Gårdens info'!D124</f>
        <v>3000</v>
      </c>
      <c r="D72" s="594" t="s">
        <v>246</v>
      </c>
      <c r="E72" s="596">
        <v>2024</v>
      </c>
      <c r="F72" s="596">
        <f>'Gårdens info'!G124</f>
        <v>1</v>
      </c>
      <c r="G72" s="611" t="s">
        <v>31</v>
      </c>
      <c r="H72" s="612">
        <v>10</v>
      </c>
      <c r="I72" s="594">
        <f t="shared" ref="I72:I89" si="622">C72*F72</f>
        <v>3000</v>
      </c>
      <c r="J72" s="597">
        <v>0</v>
      </c>
      <c r="K72" s="598">
        <v>0.05</v>
      </c>
      <c r="L72"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2" s="600">
        <v>0</v>
      </c>
      <c r="N72"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2"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2"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2"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2"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2"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2"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2"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2"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2"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2"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2"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2"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2"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2"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2"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2" s="600">
        <v>0</v>
      </c>
      <c r="AE72" s="600">
        <v>0</v>
      </c>
      <c r="AF72" s="600">
        <v>0</v>
      </c>
      <c r="AG72" s="600">
        <v>0</v>
      </c>
      <c r="AH72" s="600">
        <v>0</v>
      </c>
      <c r="AI72" s="600">
        <v>0</v>
      </c>
      <c r="AJ72" s="604">
        <f t="shared" si="530"/>
        <v>1</v>
      </c>
      <c r="AK72" s="602">
        <f t="shared" si="531"/>
        <v>81.081081081081081</v>
      </c>
      <c r="AL72" s="596">
        <f t="shared" si="532"/>
        <v>0</v>
      </c>
      <c r="AM72" s="596">
        <f t="shared" si="533"/>
        <v>81.081081081081081</v>
      </c>
      <c r="AN72" s="596">
        <f t="shared" si="534"/>
        <v>16.216216216216218</v>
      </c>
      <c r="AO72" s="596">
        <f t="shared" si="534"/>
        <v>40.54054054054054</v>
      </c>
      <c r="AP72" s="596">
        <f t="shared" si="535"/>
        <v>16.216216216216218</v>
      </c>
      <c r="AQ72" s="596">
        <f t="shared" si="536"/>
        <v>0</v>
      </c>
      <c r="AR72" s="596">
        <f t="shared" si="537"/>
        <v>0</v>
      </c>
      <c r="AS72" s="596">
        <f t="shared" si="538"/>
        <v>0</v>
      </c>
      <c r="AT72" s="596">
        <f t="shared" si="539"/>
        <v>0</v>
      </c>
      <c r="AU72" s="596">
        <f t="shared" si="540"/>
        <v>0</v>
      </c>
      <c r="AV72" s="596">
        <f t="shared" si="541"/>
        <v>24.324324324324326</v>
      </c>
      <c r="AW72" s="596">
        <f t="shared" si="542"/>
        <v>0</v>
      </c>
      <c r="AX72" s="596">
        <f t="shared" si="543"/>
        <v>0</v>
      </c>
      <c r="AY72" s="596">
        <f t="shared" si="544"/>
        <v>0</v>
      </c>
      <c r="AZ72" s="596">
        <f t="shared" si="545"/>
        <v>0</v>
      </c>
      <c r="BA72" s="596">
        <f t="shared" si="546"/>
        <v>0</v>
      </c>
      <c r="BB72" s="596">
        <f t="shared" si="547"/>
        <v>40.54054054054054</v>
      </c>
      <c r="BC72" s="596">
        <f t="shared" si="548"/>
        <v>0</v>
      </c>
      <c r="BD72" s="596">
        <f t="shared" si="549"/>
        <v>0</v>
      </c>
      <c r="BE72" s="596">
        <f t="shared" si="550"/>
        <v>0</v>
      </c>
      <c r="BF72" s="596">
        <f t="shared" si="551"/>
        <v>0</v>
      </c>
      <c r="BG72" s="596">
        <f t="shared" si="552"/>
        <v>0</v>
      </c>
      <c r="BH72" s="596">
        <f t="shared" si="553"/>
        <v>0</v>
      </c>
      <c r="BI72" s="602">
        <f t="shared" si="554"/>
        <v>20.27027027027027</v>
      </c>
      <c r="BJ72" s="596">
        <f t="shared" si="555"/>
        <v>0</v>
      </c>
      <c r="BK72" s="596">
        <f t="shared" si="556"/>
        <v>20.27027027027027</v>
      </c>
      <c r="BL72" s="596">
        <f t="shared" si="557"/>
        <v>4.0540540540540544</v>
      </c>
      <c r="BM72" s="596">
        <f t="shared" si="557"/>
        <v>10.135135135135135</v>
      </c>
      <c r="BN72" s="596">
        <f t="shared" si="558"/>
        <v>4.0540540540540544</v>
      </c>
      <c r="BO72" s="596">
        <f t="shared" si="559"/>
        <v>0</v>
      </c>
      <c r="BP72" s="596">
        <f t="shared" si="560"/>
        <v>0</v>
      </c>
      <c r="BQ72" s="596">
        <f t="shared" si="561"/>
        <v>0</v>
      </c>
      <c r="BR72" s="596">
        <f t="shared" si="562"/>
        <v>0</v>
      </c>
      <c r="BS72" s="596">
        <f t="shared" si="563"/>
        <v>0</v>
      </c>
      <c r="BT72" s="596">
        <f t="shared" si="564"/>
        <v>6.0810810810810816</v>
      </c>
      <c r="BU72" s="596">
        <f t="shared" si="565"/>
        <v>0</v>
      </c>
      <c r="BV72" s="596">
        <f t="shared" si="566"/>
        <v>0</v>
      </c>
      <c r="BW72" s="596">
        <f t="shared" si="567"/>
        <v>0</v>
      </c>
      <c r="BX72" s="596">
        <f t="shared" si="568"/>
        <v>0</v>
      </c>
      <c r="BY72" s="596">
        <f t="shared" si="569"/>
        <v>0</v>
      </c>
      <c r="BZ72" s="596">
        <f t="shared" si="570"/>
        <v>10.135135135135135</v>
      </c>
      <c r="CA72" s="596">
        <f t="shared" si="571"/>
        <v>0</v>
      </c>
      <c r="CB72" s="596">
        <f t="shared" si="572"/>
        <v>0</v>
      </c>
      <c r="CC72" s="596">
        <f t="shared" si="573"/>
        <v>0</v>
      </c>
      <c r="CD72" s="596">
        <f t="shared" si="574"/>
        <v>0</v>
      </c>
      <c r="CE72" s="596">
        <f t="shared" si="575"/>
        <v>0</v>
      </c>
      <c r="CF72" s="596">
        <f t="shared" si="576"/>
        <v>0</v>
      </c>
      <c r="CG72" s="602">
        <f t="shared" si="577"/>
        <v>40.54054054054054</v>
      </c>
      <c r="CH72" s="596">
        <f t="shared" si="578"/>
        <v>0</v>
      </c>
      <c r="CI72" s="596">
        <f t="shared" si="579"/>
        <v>40.54054054054054</v>
      </c>
      <c r="CJ72" s="596">
        <f t="shared" si="580"/>
        <v>8.1081081081081088</v>
      </c>
      <c r="CK72" s="596">
        <f t="shared" si="580"/>
        <v>20.27027027027027</v>
      </c>
      <c r="CL72" s="596">
        <f t="shared" si="581"/>
        <v>8.1081081081081088</v>
      </c>
      <c r="CM72" s="596">
        <f t="shared" si="582"/>
        <v>0</v>
      </c>
      <c r="CN72" s="596">
        <f t="shared" si="583"/>
        <v>0</v>
      </c>
      <c r="CO72" s="596">
        <f t="shared" si="584"/>
        <v>0</v>
      </c>
      <c r="CP72" s="596">
        <f t="shared" si="585"/>
        <v>0</v>
      </c>
      <c r="CQ72" s="596">
        <f t="shared" si="586"/>
        <v>0</v>
      </c>
      <c r="CR72" s="596">
        <f t="shared" si="587"/>
        <v>12.162162162162163</v>
      </c>
      <c r="CS72" s="596">
        <f t="shared" si="588"/>
        <v>0</v>
      </c>
      <c r="CT72" s="596">
        <f t="shared" si="589"/>
        <v>0</v>
      </c>
      <c r="CU72" s="596">
        <f t="shared" si="590"/>
        <v>0</v>
      </c>
      <c r="CV72" s="596">
        <f t="shared" si="591"/>
        <v>0</v>
      </c>
      <c r="CW72" s="596">
        <f t="shared" si="592"/>
        <v>0</v>
      </c>
      <c r="CX72" s="596">
        <f t="shared" si="593"/>
        <v>20.27027027027027</v>
      </c>
      <c r="CY72" s="596">
        <f t="shared" si="594"/>
        <v>0</v>
      </c>
      <c r="CZ72" s="596">
        <f t="shared" si="595"/>
        <v>0</v>
      </c>
      <c r="DA72" s="596">
        <f t="shared" si="596"/>
        <v>0</v>
      </c>
      <c r="DB72" s="596">
        <f t="shared" si="597"/>
        <v>0</v>
      </c>
      <c r="DC72" s="596">
        <f t="shared" si="598"/>
        <v>0</v>
      </c>
      <c r="DD72" s="596">
        <f t="shared" si="599"/>
        <v>0</v>
      </c>
      <c r="DE72" s="602">
        <f t="shared" si="600"/>
        <v>1.6216216216216217</v>
      </c>
      <c r="DF72" s="596"/>
      <c r="DG72" s="596">
        <f t="shared" si="601"/>
        <v>1.6216216216216217</v>
      </c>
      <c r="DH72" s="596">
        <f t="shared" si="602"/>
        <v>0.32432432432432434</v>
      </c>
      <c r="DI72" s="596">
        <f t="shared" si="602"/>
        <v>0.81081081081081086</v>
      </c>
      <c r="DJ72" s="596">
        <f t="shared" si="603"/>
        <v>0.32432432432432434</v>
      </c>
      <c r="DK72" s="596">
        <f t="shared" si="604"/>
        <v>0</v>
      </c>
      <c r="DL72" s="596">
        <f t="shared" si="605"/>
        <v>0</v>
      </c>
      <c r="DM72" s="596">
        <f t="shared" si="606"/>
        <v>0</v>
      </c>
      <c r="DN72" s="596">
        <f t="shared" si="607"/>
        <v>0</v>
      </c>
      <c r="DO72" s="596">
        <f t="shared" si="608"/>
        <v>0</v>
      </c>
      <c r="DP72" s="596">
        <f t="shared" si="609"/>
        <v>0.48648648648648651</v>
      </c>
      <c r="DQ72" s="596">
        <f t="shared" si="610"/>
        <v>0</v>
      </c>
      <c r="DR72" s="596">
        <f t="shared" si="611"/>
        <v>0</v>
      </c>
      <c r="DS72" s="596">
        <f t="shared" si="612"/>
        <v>0</v>
      </c>
      <c r="DT72" s="596">
        <f t="shared" si="613"/>
        <v>0</v>
      </c>
      <c r="DU72" s="596">
        <f t="shared" si="614"/>
        <v>0</v>
      </c>
      <c r="DV72" s="596">
        <f t="shared" si="615"/>
        <v>0.81081081081081086</v>
      </c>
      <c r="DW72" s="596">
        <f t="shared" si="616"/>
        <v>0</v>
      </c>
      <c r="DX72" s="596">
        <f t="shared" si="617"/>
        <v>0</v>
      </c>
      <c r="DY72" s="596">
        <f t="shared" si="618"/>
        <v>0</v>
      </c>
      <c r="DZ72" s="596">
        <f t="shared" si="619"/>
        <v>0</v>
      </c>
      <c r="EA72" s="596">
        <f t="shared" si="620"/>
        <v>0</v>
      </c>
      <c r="EB72" s="603">
        <f t="shared" si="621"/>
        <v>0</v>
      </c>
    </row>
    <row r="73" spans="1:132" s="594" customFormat="1" ht="13.8" thickBot="1" x14ac:dyDescent="0.3">
      <c r="B73" s="594" t="str">
        <f>'Gårdens info'!C125</f>
        <v>Droppslangar</v>
      </c>
      <c r="C73" s="596">
        <f>'Gårdens info'!D125</f>
        <v>2000</v>
      </c>
      <c r="D73" s="594" t="s">
        <v>246</v>
      </c>
      <c r="E73" s="596">
        <v>2024</v>
      </c>
      <c r="F73" s="596">
        <f>'Gårdens info'!G125</f>
        <v>1</v>
      </c>
      <c r="G73" s="611" t="s">
        <v>124</v>
      </c>
      <c r="H73" s="612">
        <v>10</v>
      </c>
      <c r="I73" s="594">
        <f t="shared" si="622"/>
        <v>2000</v>
      </c>
      <c r="J73" s="597">
        <v>0</v>
      </c>
      <c r="K73" s="598">
        <v>0.05</v>
      </c>
      <c r="L73"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3" s="600">
        <v>0</v>
      </c>
      <c r="N73"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3"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3"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3"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3"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3"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3"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3"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3"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3"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3"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3"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3"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3"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3"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3"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3" s="600">
        <v>0</v>
      </c>
      <c r="AE73" s="600">
        <v>0</v>
      </c>
      <c r="AF73" s="600">
        <v>0</v>
      </c>
      <c r="AG73" s="600">
        <v>0</v>
      </c>
      <c r="AH73" s="600">
        <v>0</v>
      </c>
      <c r="AI73" s="600">
        <v>0</v>
      </c>
      <c r="AJ73" s="604">
        <f>+SUM(L73:AI73)</f>
        <v>1</v>
      </c>
      <c r="AK73" s="602">
        <f t="shared" si="531"/>
        <v>54.054054054054056</v>
      </c>
      <c r="AL73" s="596">
        <f t="shared" si="532"/>
        <v>0</v>
      </c>
      <c r="AM73" s="596">
        <f t="shared" si="533"/>
        <v>54.054054054054056</v>
      </c>
      <c r="AN73" s="596">
        <f t="shared" si="534"/>
        <v>10.810810810810811</v>
      </c>
      <c r="AO73" s="596">
        <f t="shared" si="534"/>
        <v>27.027027027027028</v>
      </c>
      <c r="AP73" s="596">
        <f t="shared" si="535"/>
        <v>10.810810810810811</v>
      </c>
      <c r="AQ73" s="596">
        <f t="shared" si="536"/>
        <v>0</v>
      </c>
      <c r="AR73" s="596">
        <f t="shared" si="537"/>
        <v>0</v>
      </c>
      <c r="AS73" s="596">
        <f t="shared" si="538"/>
        <v>0</v>
      </c>
      <c r="AT73" s="596">
        <f t="shared" si="539"/>
        <v>0</v>
      </c>
      <c r="AU73" s="596">
        <f t="shared" si="540"/>
        <v>0</v>
      </c>
      <c r="AV73" s="596">
        <f t="shared" si="541"/>
        <v>16.216216216216218</v>
      </c>
      <c r="AW73" s="596">
        <f t="shared" si="542"/>
        <v>0</v>
      </c>
      <c r="AX73" s="596">
        <f t="shared" si="543"/>
        <v>0</v>
      </c>
      <c r="AY73" s="596">
        <f t="shared" si="544"/>
        <v>0</v>
      </c>
      <c r="AZ73" s="596">
        <f t="shared" si="545"/>
        <v>0</v>
      </c>
      <c r="BA73" s="596">
        <f t="shared" si="546"/>
        <v>0</v>
      </c>
      <c r="BB73" s="596">
        <f t="shared" si="547"/>
        <v>27.027027027027028</v>
      </c>
      <c r="BC73" s="596">
        <f t="shared" si="548"/>
        <v>0</v>
      </c>
      <c r="BD73" s="596">
        <f t="shared" si="549"/>
        <v>0</v>
      </c>
      <c r="BE73" s="596">
        <f t="shared" si="550"/>
        <v>0</v>
      </c>
      <c r="BF73" s="596">
        <f t="shared" si="551"/>
        <v>0</v>
      </c>
      <c r="BG73" s="596">
        <f t="shared" si="552"/>
        <v>0</v>
      </c>
      <c r="BH73" s="596">
        <f t="shared" si="553"/>
        <v>0</v>
      </c>
      <c r="BI73" s="602">
        <f t="shared" si="554"/>
        <v>13.513513513513514</v>
      </c>
      <c r="BJ73" s="596">
        <f t="shared" si="555"/>
        <v>0</v>
      </c>
      <c r="BK73" s="596">
        <f t="shared" si="556"/>
        <v>13.513513513513514</v>
      </c>
      <c r="BL73" s="596">
        <f t="shared" si="557"/>
        <v>2.7027027027027026</v>
      </c>
      <c r="BM73" s="596">
        <f t="shared" si="557"/>
        <v>6.756756756756757</v>
      </c>
      <c r="BN73" s="596">
        <f t="shared" si="558"/>
        <v>2.7027027027027026</v>
      </c>
      <c r="BO73" s="596">
        <f t="shared" si="559"/>
        <v>0</v>
      </c>
      <c r="BP73" s="596">
        <f t="shared" si="560"/>
        <v>0</v>
      </c>
      <c r="BQ73" s="596">
        <f t="shared" si="561"/>
        <v>0</v>
      </c>
      <c r="BR73" s="596">
        <f t="shared" si="562"/>
        <v>0</v>
      </c>
      <c r="BS73" s="596">
        <f t="shared" si="563"/>
        <v>0</v>
      </c>
      <c r="BT73" s="596">
        <f t="shared" si="564"/>
        <v>4.0540540540540544</v>
      </c>
      <c r="BU73" s="596">
        <f t="shared" si="565"/>
        <v>0</v>
      </c>
      <c r="BV73" s="596">
        <f t="shared" si="566"/>
        <v>0</v>
      </c>
      <c r="BW73" s="596">
        <f t="shared" si="567"/>
        <v>0</v>
      </c>
      <c r="BX73" s="596">
        <f t="shared" si="568"/>
        <v>0</v>
      </c>
      <c r="BY73" s="596">
        <f t="shared" si="569"/>
        <v>0</v>
      </c>
      <c r="BZ73" s="596">
        <f t="shared" si="570"/>
        <v>6.756756756756757</v>
      </c>
      <c r="CA73" s="596">
        <f t="shared" si="571"/>
        <v>0</v>
      </c>
      <c r="CB73" s="596">
        <f t="shared" si="572"/>
        <v>0</v>
      </c>
      <c r="CC73" s="596">
        <f t="shared" si="573"/>
        <v>0</v>
      </c>
      <c r="CD73" s="596">
        <f t="shared" si="574"/>
        <v>0</v>
      </c>
      <c r="CE73" s="596">
        <f t="shared" si="575"/>
        <v>0</v>
      </c>
      <c r="CF73" s="596">
        <f t="shared" si="576"/>
        <v>0</v>
      </c>
      <c r="CG73" s="602">
        <f t="shared" si="577"/>
        <v>27.027027027027028</v>
      </c>
      <c r="CH73" s="596">
        <f t="shared" si="578"/>
        <v>0</v>
      </c>
      <c r="CI73" s="596">
        <f t="shared" si="579"/>
        <v>27.027027027027028</v>
      </c>
      <c r="CJ73" s="596">
        <f t="shared" si="580"/>
        <v>5.4054054054054053</v>
      </c>
      <c r="CK73" s="596">
        <f t="shared" si="580"/>
        <v>13.513513513513514</v>
      </c>
      <c r="CL73" s="596">
        <f t="shared" si="581"/>
        <v>5.4054054054054053</v>
      </c>
      <c r="CM73" s="596">
        <f t="shared" si="582"/>
        <v>0</v>
      </c>
      <c r="CN73" s="596">
        <f t="shared" si="583"/>
        <v>0</v>
      </c>
      <c r="CO73" s="596">
        <f t="shared" si="584"/>
        <v>0</v>
      </c>
      <c r="CP73" s="596">
        <f t="shared" si="585"/>
        <v>0</v>
      </c>
      <c r="CQ73" s="596">
        <f t="shared" si="586"/>
        <v>0</v>
      </c>
      <c r="CR73" s="596">
        <f t="shared" si="587"/>
        <v>8.1081081081081088</v>
      </c>
      <c r="CS73" s="596">
        <f t="shared" si="588"/>
        <v>0</v>
      </c>
      <c r="CT73" s="596">
        <f t="shared" si="589"/>
        <v>0</v>
      </c>
      <c r="CU73" s="596">
        <f t="shared" si="590"/>
        <v>0</v>
      </c>
      <c r="CV73" s="596">
        <f t="shared" si="591"/>
        <v>0</v>
      </c>
      <c r="CW73" s="596">
        <f t="shared" si="592"/>
        <v>0</v>
      </c>
      <c r="CX73" s="596">
        <f t="shared" si="593"/>
        <v>13.513513513513514</v>
      </c>
      <c r="CY73" s="596">
        <f t="shared" si="594"/>
        <v>0</v>
      </c>
      <c r="CZ73" s="596">
        <f t="shared" si="595"/>
        <v>0</v>
      </c>
      <c r="DA73" s="596">
        <f t="shared" si="596"/>
        <v>0</v>
      </c>
      <c r="DB73" s="596">
        <f t="shared" si="597"/>
        <v>0</v>
      </c>
      <c r="DC73" s="596">
        <f t="shared" si="598"/>
        <v>0</v>
      </c>
      <c r="DD73" s="596">
        <f t="shared" si="599"/>
        <v>0</v>
      </c>
      <c r="DE73" s="602">
        <f t="shared" si="600"/>
        <v>1.0810810810810811</v>
      </c>
      <c r="DF73" s="596"/>
      <c r="DG73" s="596">
        <f t="shared" si="601"/>
        <v>1.0810810810810811</v>
      </c>
      <c r="DH73" s="596">
        <f t="shared" si="602"/>
        <v>0.21621621621621623</v>
      </c>
      <c r="DI73" s="596">
        <f t="shared" si="602"/>
        <v>0.54054054054054057</v>
      </c>
      <c r="DJ73" s="596">
        <f t="shared" si="603"/>
        <v>0.21621621621621623</v>
      </c>
      <c r="DK73" s="596">
        <f t="shared" si="604"/>
        <v>0</v>
      </c>
      <c r="DL73" s="596">
        <f t="shared" si="605"/>
        <v>0</v>
      </c>
      <c r="DM73" s="596">
        <f t="shared" si="606"/>
        <v>0</v>
      </c>
      <c r="DN73" s="596">
        <f t="shared" si="607"/>
        <v>0</v>
      </c>
      <c r="DO73" s="596">
        <f t="shared" si="608"/>
        <v>0</v>
      </c>
      <c r="DP73" s="596">
        <f t="shared" si="609"/>
        <v>0.32432432432432434</v>
      </c>
      <c r="DQ73" s="596">
        <f t="shared" si="610"/>
        <v>0</v>
      </c>
      <c r="DR73" s="596">
        <f t="shared" si="611"/>
        <v>0</v>
      </c>
      <c r="DS73" s="596">
        <f t="shared" si="612"/>
        <v>0</v>
      </c>
      <c r="DT73" s="596">
        <f t="shared" si="613"/>
        <v>0</v>
      </c>
      <c r="DU73" s="596">
        <f t="shared" si="614"/>
        <v>0</v>
      </c>
      <c r="DV73" s="596">
        <f t="shared" si="615"/>
        <v>0.54054054054054057</v>
      </c>
      <c r="DW73" s="596">
        <f t="shared" si="616"/>
        <v>0</v>
      </c>
      <c r="DX73" s="596">
        <f t="shared" si="617"/>
        <v>0</v>
      </c>
      <c r="DY73" s="596">
        <f t="shared" si="618"/>
        <v>0</v>
      </c>
      <c r="DZ73" s="596">
        <f t="shared" si="619"/>
        <v>0</v>
      </c>
      <c r="EA73" s="596">
        <f t="shared" si="620"/>
        <v>0</v>
      </c>
      <c r="EB73" s="603">
        <f t="shared" si="621"/>
        <v>0</v>
      </c>
    </row>
    <row r="74" spans="1:132" s="594" customFormat="1" ht="13.8" thickBot="1" x14ac:dyDescent="0.3">
      <c r="B74" s="594" t="str">
        <f>'Gårdens info'!C126</f>
        <v>Gödselblandare</v>
      </c>
      <c r="C74" s="596">
        <f>'Gårdens info'!D126</f>
        <v>700</v>
      </c>
      <c r="D74" s="594" t="s">
        <v>246</v>
      </c>
      <c r="E74" s="596">
        <v>2023</v>
      </c>
      <c r="F74" s="596">
        <f>'Gårdens info'!G126</f>
        <v>1</v>
      </c>
      <c r="G74" s="611" t="s">
        <v>31</v>
      </c>
      <c r="H74" s="612">
        <v>10</v>
      </c>
      <c r="I74" s="594">
        <f t="shared" si="622"/>
        <v>700</v>
      </c>
      <c r="J74" s="597">
        <v>0</v>
      </c>
      <c r="K74" s="598">
        <v>0.05</v>
      </c>
      <c r="L74"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4" s="600">
        <v>0</v>
      </c>
      <c r="N74"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4"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4"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4"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4"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4"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4"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4"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4"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4"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4"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4"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4"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4"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4"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4"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4" s="600">
        <v>0</v>
      </c>
      <c r="AE74" s="600">
        <v>0</v>
      </c>
      <c r="AF74" s="600">
        <v>0</v>
      </c>
      <c r="AG74" s="600">
        <v>0</v>
      </c>
      <c r="AH74" s="600">
        <v>0</v>
      </c>
      <c r="AI74" s="600">
        <v>0</v>
      </c>
      <c r="AJ74" s="604">
        <f t="shared" si="530"/>
        <v>1</v>
      </c>
      <c r="AK74" s="602">
        <f t="shared" si="531"/>
        <v>18.918918918918919</v>
      </c>
      <c r="AL74" s="596">
        <f t="shared" si="532"/>
        <v>0</v>
      </c>
      <c r="AM74" s="596">
        <f t="shared" si="533"/>
        <v>18.918918918918919</v>
      </c>
      <c r="AN74" s="596">
        <f t="shared" si="534"/>
        <v>3.7837837837837842</v>
      </c>
      <c r="AO74" s="596">
        <f t="shared" si="534"/>
        <v>9.4594594594594597</v>
      </c>
      <c r="AP74" s="596">
        <f t="shared" si="535"/>
        <v>3.7837837837837842</v>
      </c>
      <c r="AQ74" s="596">
        <f t="shared" si="536"/>
        <v>0</v>
      </c>
      <c r="AR74" s="596">
        <f t="shared" si="537"/>
        <v>0</v>
      </c>
      <c r="AS74" s="596">
        <f t="shared" si="538"/>
        <v>0</v>
      </c>
      <c r="AT74" s="596">
        <f t="shared" si="539"/>
        <v>0</v>
      </c>
      <c r="AU74" s="596">
        <f t="shared" si="540"/>
        <v>0</v>
      </c>
      <c r="AV74" s="596">
        <f t="shared" si="541"/>
        <v>5.6756756756756763</v>
      </c>
      <c r="AW74" s="596">
        <f t="shared" si="542"/>
        <v>0</v>
      </c>
      <c r="AX74" s="596">
        <f t="shared" si="543"/>
        <v>0</v>
      </c>
      <c r="AY74" s="596">
        <f t="shared" si="544"/>
        <v>0</v>
      </c>
      <c r="AZ74" s="596">
        <f t="shared" si="545"/>
        <v>0</v>
      </c>
      <c r="BA74" s="596">
        <f t="shared" si="546"/>
        <v>0</v>
      </c>
      <c r="BB74" s="596">
        <f t="shared" si="547"/>
        <v>9.4594594594594597</v>
      </c>
      <c r="BC74" s="596">
        <f t="shared" si="548"/>
        <v>0</v>
      </c>
      <c r="BD74" s="596">
        <f t="shared" si="549"/>
        <v>0</v>
      </c>
      <c r="BE74" s="596">
        <f t="shared" si="550"/>
        <v>0</v>
      </c>
      <c r="BF74" s="596">
        <f t="shared" si="551"/>
        <v>0</v>
      </c>
      <c r="BG74" s="596">
        <f t="shared" si="552"/>
        <v>0</v>
      </c>
      <c r="BH74" s="596">
        <f t="shared" si="553"/>
        <v>0</v>
      </c>
      <c r="BI74" s="602">
        <f t="shared" si="554"/>
        <v>4.7297297297297298</v>
      </c>
      <c r="BJ74" s="596">
        <f t="shared" si="555"/>
        <v>0</v>
      </c>
      <c r="BK74" s="596">
        <f t="shared" si="556"/>
        <v>4.7297297297297298</v>
      </c>
      <c r="BL74" s="596">
        <f t="shared" si="557"/>
        <v>0.94594594594594605</v>
      </c>
      <c r="BM74" s="596">
        <f t="shared" si="557"/>
        <v>2.3648648648648649</v>
      </c>
      <c r="BN74" s="596">
        <f t="shared" si="558"/>
        <v>0.94594594594594605</v>
      </c>
      <c r="BO74" s="596">
        <f t="shared" si="559"/>
        <v>0</v>
      </c>
      <c r="BP74" s="596">
        <f t="shared" si="560"/>
        <v>0</v>
      </c>
      <c r="BQ74" s="596">
        <f t="shared" si="561"/>
        <v>0</v>
      </c>
      <c r="BR74" s="596">
        <f t="shared" si="562"/>
        <v>0</v>
      </c>
      <c r="BS74" s="596">
        <f t="shared" si="563"/>
        <v>0</v>
      </c>
      <c r="BT74" s="596">
        <f t="shared" si="564"/>
        <v>1.4189189189189191</v>
      </c>
      <c r="BU74" s="596">
        <f t="shared" si="565"/>
        <v>0</v>
      </c>
      <c r="BV74" s="596">
        <f t="shared" si="566"/>
        <v>0</v>
      </c>
      <c r="BW74" s="596">
        <f t="shared" si="567"/>
        <v>0</v>
      </c>
      <c r="BX74" s="596">
        <f t="shared" si="568"/>
        <v>0</v>
      </c>
      <c r="BY74" s="596">
        <f t="shared" si="569"/>
        <v>0</v>
      </c>
      <c r="BZ74" s="596">
        <f t="shared" si="570"/>
        <v>2.3648648648648649</v>
      </c>
      <c r="CA74" s="596">
        <f t="shared" si="571"/>
        <v>0</v>
      </c>
      <c r="CB74" s="596">
        <f t="shared" si="572"/>
        <v>0</v>
      </c>
      <c r="CC74" s="596">
        <f t="shared" si="573"/>
        <v>0</v>
      </c>
      <c r="CD74" s="596">
        <f t="shared" si="574"/>
        <v>0</v>
      </c>
      <c r="CE74" s="596">
        <f t="shared" si="575"/>
        <v>0</v>
      </c>
      <c r="CF74" s="596">
        <f t="shared" si="576"/>
        <v>0</v>
      </c>
      <c r="CG74" s="602">
        <f t="shared" si="577"/>
        <v>9.4594594594594597</v>
      </c>
      <c r="CH74" s="596">
        <f t="shared" si="578"/>
        <v>0</v>
      </c>
      <c r="CI74" s="596">
        <f t="shared" si="579"/>
        <v>9.4594594594594597</v>
      </c>
      <c r="CJ74" s="596">
        <f t="shared" si="580"/>
        <v>1.8918918918918921</v>
      </c>
      <c r="CK74" s="596">
        <f t="shared" si="580"/>
        <v>4.7297297297297298</v>
      </c>
      <c r="CL74" s="596">
        <f t="shared" si="581"/>
        <v>1.8918918918918921</v>
      </c>
      <c r="CM74" s="596">
        <f t="shared" si="582"/>
        <v>0</v>
      </c>
      <c r="CN74" s="596">
        <f t="shared" si="583"/>
        <v>0</v>
      </c>
      <c r="CO74" s="596">
        <f t="shared" si="584"/>
        <v>0</v>
      </c>
      <c r="CP74" s="596">
        <f t="shared" si="585"/>
        <v>0</v>
      </c>
      <c r="CQ74" s="596">
        <f t="shared" si="586"/>
        <v>0</v>
      </c>
      <c r="CR74" s="596">
        <f t="shared" si="587"/>
        <v>2.8378378378378382</v>
      </c>
      <c r="CS74" s="596">
        <f t="shared" si="588"/>
        <v>0</v>
      </c>
      <c r="CT74" s="596">
        <f t="shared" si="589"/>
        <v>0</v>
      </c>
      <c r="CU74" s="596">
        <f t="shared" si="590"/>
        <v>0</v>
      </c>
      <c r="CV74" s="596">
        <f t="shared" si="591"/>
        <v>0</v>
      </c>
      <c r="CW74" s="596">
        <f t="shared" si="592"/>
        <v>0</v>
      </c>
      <c r="CX74" s="596">
        <f t="shared" si="593"/>
        <v>4.7297297297297298</v>
      </c>
      <c r="CY74" s="596">
        <f t="shared" si="594"/>
        <v>0</v>
      </c>
      <c r="CZ74" s="596">
        <f t="shared" si="595"/>
        <v>0</v>
      </c>
      <c r="DA74" s="596">
        <f t="shared" si="596"/>
        <v>0</v>
      </c>
      <c r="DB74" s="596">
        <f t="shared" si="597"/>
        <v>0</v>
      </c>
      <c r="DC74" s="596">
        <f t="shared" si="598"/>
        <v>0</v>
      </c>
      <c r="DD74" s="596">
        <f t="shared" si="599"/>
        <v>0</v>
      </c>
      <c r="DE74" s="602">
        <f t="shared" si="600"/>
        <v>0.37837837837837845</v>
      </c>
      <c r="DF74" s="596"/>
      <c r="DG74" s="596">
        <f t="shared" si="601"/>
        <v>0.37837837837837845</v>
      </c>
      <c r="DH74" s="596">
        <f t="shared" si="602"/>
        <v>7.5675675675675694E-2</v>
      </c>
      <c r="DI74" s="596">
        <f t="shared" si="602"/>
        <v>0.18918918918918923</v>
      </c>
      <c r="DJ74" s="596">
        <f t="shared" si="603"/>
        <v>7.5675675675675694E-2</v>
      </c>
      <c r="DK74" s="596">
        <f t="shared" si="604"/>
        <v>0</v>
      </c>
      <c r="DL74" s="596">
        <f t="shared" si="605"/>
        <v>0</v>
      </c>
      <c r="DM74" s="596">
        <f t="shared" si="606"/>
        <v>0</v>
      </c>
      <c r="DN74" s="596">
        <f t="shared" si="607"/>
        <v>0</v>
      </c>
      <c r="DO74" s="596">
        <f t="shared" si="608"/>
        <v>0</v>
      </c>
      <c r="DP74" s="596">
        <f t="shared" si="609"/>
        <v>0.11351351351351353</v>
      </c>
      <c r="DQ74" s="596">
        <f t="shared" si="610"/>
        <v>0</v>
      </c>
      <c r="DR74" s="596">
        <f t="shared" si="611"/>
        <v>0</v>
      </c>
      <c r="DS74" s="596">
        <f t="shared" si="612"/>
        <v>0</v>
      </c>
      <c r="DT74" s="596">
        <f t="shared" si="613"/>
        <v>0</v>
      </c>
      <c r="DU74" s="596">
        <f t="shared" si="614"/>
        <v>0</v>
      </c>
      <c r="DV74" s="596">
        <f t="shared" si="615"/>
        <v>0.18918918918918923</v>
      </c>
      <c r="DW74" s="596">
        <f t="shared" si="616"/>
        <v>0</v>
      </c>
      <c r="DX74" s="596">
        <f t="shared" si="617"/>
        <v>0</v>
      </c>
      <c r="DY74" s="596">
        <f t="shared" si="618"/>
        <v>0</v>
      </c>
      <c r="DZ74" s="596">
        <f t="shared" si="619"/>
        <v>0</v>
      </c>
      <c r="EA74" s="596">
        <f t="shared" si="620"/>
        <v>0</v>
      </c>
      <c r="EB74" s="603">
        <f t="shared" si="621"/>
        <v>0</v>
      </c>
    </row>
    <row r="75" spans="1:132" s="594" customFormat="1" ht="13.8" thickBot="1" x14ac:dyDescent="0.3">
      <c r="B75" s="594" t="str">
        <f>'Gårdens info'!C127</f>
        <v>Fiberdukar 17 g/m2</v>
      </c>
      <c r="C75" s="596">
        <f>'Gårdens info'!D127</f>
        <v>800</v>
      </c>
      <c r="D75" s="594" t="s">
        <v>57</v>
      </c>
      <c r="E75" s="596">
        <v>2025</v>
      </c>
      <c r="F75" s="596">
        <f>'Gårdens info'!G127</f>
        <v>5</v>
      </c>
      <c r="G75" s="611" t="s">
        <v>31</v>
      </c>
      <c r="H75" s="612">
        <v>4</v>
      </c>
      <c r="I75" s="594">
        <f t="shared" si="622"/>
        <v>4000</v>
      </c>
      <c r="J75" s="597">
        <v>0</v>
      </c>
      <c r="K75" s="598">
        <v>0.05</v>
      </c>
      <c r="L75"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5" s="600">
        <v>0</v>
      </c>
      <c r="N75"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5"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5"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5"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5"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5"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5"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5"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5"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5"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5"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5"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5"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5"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5"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5"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5" s="600">
        <v>0</v>
      </c>
      <c r="AE75" s="600">
        <v>0</v>
      </c>
      <c r="AF75" s="600">
        <v>0</v>
      </c>
      <c r="AG75" s="600">
        <v>0</v>
      </c>
      <c r="AH75" s="600">
        <v>0</v>
      </c>
      <c r="AI75" s="600">
        <v>0</v>
      </c>
      <c r="AJ75" s="604">
        <f t="shared" si="530"/>
        <v>1</v>
      </c>
      <c r="AK75" s="602">
        <f t="shared" si="531"/>
        <v>270.27027027027026</v>
      </c>
      <c r="AL75" s="596">
        <f t="shared" si="532"/>
        <v>0</v>
      </c>
      <c r="AM75" s="596">
        <f t="shared" si="533"/>
        <v>270.27027027027026</v>
      </c>
      <c r="AN75" s="596">
        <f t="shared" si="534"/>
        <v>54.054054054054056</v>
      </c>
      <c r="AO75" s="596">
        <f t="shared" si="534"/>
        <v>135.13513513513513</v>
      </c>
      <c r="AP75" s="596">
        <f t="shared" si="535"/>
        <v>54.054054054054056</v>
      </c>
      <c r="AQ75" s="596">
        <f t="shared" si="536"/>
        <v>0</v>
      </c>
      <c r="AR75" s="596">
        <f t="shared" si="537"/>
        <v>0</v>
      </c>
      <c r="AS75" s="596">
        <f t="shared" si="538"/>
        <v>0</v>
      </c>
      <c r="AT75" s="596">
        <f t="shared" si="539"/>
        <v>0</v>
      </c>
      <c r="AU75" s="596">
        <f t="shared" si="540"/>
        <v>0</v>
      </c>
      <c r="AV75" s="596">
        <f t="shared" si="541"/>
        <v>81.081081081081081</v>
      </c>
      <c r="AW75" s="596">
        <f t="shared" si="542"/>
        <v>0</v>
      </c>
      <c r="AX75" s="596">
        <f t="shared" si="543"/>
        <v>0</v>
      </c>
      <c r="AY75" s="596">
        <f t="shared" si="544"/>
        <v>0</v>
      </c>
      <c r="AZ75" s="596">
        <f t="shared" si="545"/>
        <v>0</v>
      </c>
      <c r="BA75" s="596">
        <f t="shared" si="546"/>
        <v>0</v>
      </c>
      <c r="BB75" s="596">
        <f t="shared" si="547"/>
        <v>135.13513513513513</v>
      </c>
      <c r="BC75" s="596">
        <f t="shared" si="548"/>
        <v>0</v>
      </c>
      <c r="BD75" s="596">
        <f t="shared" si="549"/>
        <v>0</v>
      </c>
      <c r="BE75" s="596">
        <f t="shared" si="550"/>
        <v>0</v>
      </c>
      <c r="BF75" s="596">
        <f t="shared" si="551"/>
        <v>0</v>
      </c>
      <c r="BG75" s="596">
        <f t="shared" si="552"/>
        <v>0</v>
      </c>
      <c r="BH75" s="596">
        <f t="shared" si="553"/>
        <v>0</v>
      </c>
      <c r="BI75" s="602">
        <f t="shared" si="554"/>
        <v>27.027027027027028</v>
      </c>
      <c r="BJ75" s="596">
        <f t="shared" si="555"/>
        <v>0</v>
      </c>
      <c r="BK75" s="596">
        <f t="shared" si="556"/>
        <v>27.027027027027028</v>
      </c>
      <c r="BL75" s="596">
        <f t="shared" si="557"/>
        <v>5.4054054054054053</v>
      </c>
      <c r="BM75" s="596">
        <f t="shared" si="557"/>
        <v>13.513513513513514</v>
      </c>
      <c r="BN75" s="596">
        <f t="shared" si="558"/>
        <v>5.4054054054054053</v>
      </c>
      <c r="BO75" s="596">
        <f t="shared" si="559"/>
        <v>0</v>
      </c>
      <c r="BP75" s="596">
        <f t="shared" si="560"/>
        <v>0</v>
      </c>
      <c r="BQ75" s="596">
        <f t="shared" si="561"/>
        <v>0</v>
      </c>
      <c r="BR75" s="596">
        <f t="shared" si="562"/>
        <v>0</v>
      </c>
      <c r="BS75" s="596">
        <f t="shared" si="563"/>
        <v>0</v>
      </c>
      <c r="BT75" s="596">
        <f t="shared" si="564"/>
        <v>8.1081081081081088</v>
      </c>
      <c r="BU75" s="596">
        <f t="shared" si="565"/>
        <v>0</v>
      </c>
      <c r="BV75" s="596">
        <f t="shared" si="566"/>
        <v>0</v>
      </c>
      <c r="BW75" s="596">
        <f t="shared" si="567"/>
        <v>0</v>
      </c>
      <c r="BX75" s="596">
        <f t="shared" si="568"/>
        <v>0</v>
      </c>
      <c r="BY75" s="596">
        <f t="shared" si="569"/>
        <v>0</v>
      </c>
      <c r="BZ75" s="596">
        <f t="shared" si="570"/>
        <v>13.513513513513514</v>
      </c>
      <c r="CA75" s="596">
        <f t="shared" si="571"/>
        <v>0</v>
      </c>
      <c r="CB75" s="596">
        <f t="shared" si="572"/>
        <v>0</v>
      </c>
      <c r="CC75" s="596">
        <f t="shared" si="573"/>
        <v>0</v>
      </c>
      <c r="CD75" s="596">
        <f t="shared" si="574"/>
        <v>0</v>
      </c>
      <c r="CE75" s="596">
        <f t="shared" si="575"/>
        <v>0</v>
      </c>
      <c r="CF75" s="596">
        <f t="shared" si="576"/>
        <v>0</v>
      </c>
      <c r="CG75" s="602">
        <f t="shared" si="577"/>
        <v>54.054054054054056</v>
      </c>
      <c r="CH75" s="596">
        <f t="shared" si="578"/>
        <v>0</v>
      </c>
      <c r="CI75" s="596">
        <f t="shared" si="579"/>
        <v>54.054054054054056</v>
      </c>
      <c r="CJ75" s="596">
        <f t="shared" si="580"/>
        <v>10.810810810810811</v>
      </c>
      <c r="CK75" s="596">
        <f t="shared" si="580"/>
        <v>27.027027027027028</v>
      </c>
      <c r="CL75" s="596">
        <f t="shared" si="581"/>
        <v>10.810810810810811</v>
      </c>
      <c r="CM75" s="596">
        <f t="shared" si="582"/>
        <v>0</v>
      </c>
      <c r="CN75" s="596">
        <f t="shared" si="583"/>
        <v>0</v>
      </c>
      <c r="CO75" s="596">
        <f t="shared" si="584"/>
        <v>0</v>
      </c>
      <c r="CP75" s="596">
        <f t="shared" si="585"/>
        <v>0</v>
      </c>
      <c r="CQ75" s="596">
        <f t="shared" si="586"/>
        <v>0</v>
      </c>
      <c r="CR75" s="596">
        <f t="shared" si="587"/>
        <v>16.216216216216218</v>
      </c>
      <c r="CS75" s="596">
        <f t="shared" si="588"/>
        <v>0</v>
      </c>
      <c r="CT75" s="596">
        <f t="shared" si="589"/>
        <v>0</v>
      </c>
      <c r="CU75" s="596">
        <f t="shared" si="590"/>
        <v>0</v>
      </c>
      <c r="CV75" s="596">
        <f t="shared" si="591"/>
        <v>0</v>
      </c>
      <c r="CW75" s="596">
        <f t="shared" si="592"/>
        <v>0</v>
      </c>
      <c r="CX75" s="596">
        <f t="shared" si="593"/>
        <v>27.027027027027028</v>
      </c>
      <c r="CY75" s="596">
        <f t="shared" si="594"/>
        <v>0</v>
      </c>
      <c r="CZ75" s="596">
        <f t="shared" si="595"/>
        <v>0</v>
      </c>
      <c r="DA75" s="596">
        <f t="shared" si="596"/>
        <v>0</v>
      </c>
      <c r="DB75" s="596">
        <f t="shared" si="597"/>
        <v>0</v>
      </c>
      <c r="DC75" s="596">
        <f t="shared" si="598"/>
        <v>0</v>
      </c>
      <c r="DD75" s="596">
        <f t="shared" si="599"/>
        <v>0</v>
      </c>
      <c r="DE75" s="602">
        <f t="shared" si="600"/>
        <v>2.1621621621621623</v>
      </c>
      <c r="DF75" s="596"/>
      <c r="DG75" s="596">
        <f t="shared" si="601"/>
        <v>2.1621621621621623</v>
      </c>
      <c r="DH75" s="596">
        <f t="shared" si="602"/>
        <v>0.43243243243243246</v>
      </c>
      <c r="DI75" s="596">
        <f t="shared" si="602"/>
        <v>1.0810810810810811</v>
      </c>
      <c r="DJ75" s="596">
        <f t="shared" si="603"/>
        <v>0.43243243243243246</v>
      </c>
      <c r="DK75" s="596">
        <f t="shared" si="604"/>
        <v>0</v>
      </c>
      <c r="DL75" s="596">
        <f t="shared" si="605"/>
        <v>0</v>
      </c>
      <c r="DM75" s="596">
        <f t="shared" si="606"/>
        <v>0</v>
      </c>
      <c r="DN75" s="596">
        <f t="shared" si="607"/>
        <v>0</v>
      </c>
      <c r="DO75" s="596">
        <f t="shared" si="608"/>
        <v>0</v>
      </c>
      <c r="DP75" s="596">
        <f t="shared" si="609"/>
        <v>0.64864864864864868</v>
      </c>
      <c r="DQ75" s="596">
        <f t="shared" si="610"/>
        <v>0</v>
      </c>
      <c r="DR75" s="596">
        <f t="shared" si="611"/>
        <v>0</v>
      </c>
      <c r="DS75" s="596">
        <f t="shared" si="612"/>
        <v>0</v>
      </c>
      <c r="DT75" s="596">
        <f t="shared" si="613"/>
        <v>0</v>
      </c>
      <c r="DU75" s="596">
        <f t="shared" si="614"/>
        <v>0</v>
      </c>
      <c r="DV75" s="596">
        <f t="shared" si="615"/>
        <v>1.0810810810810811</v>
      </c>
      <c r="DW75" s="596">
        <f t="shared" si="616"/>
        <v>0</v>
      </c>
      <c r="DX75" s="596">
        <f t="shared" si="617"/>
        <v>0</v>
      </c>
      <c r="DY75" s="596">
        <f t="shared" si="618"/>
        <v>0</v>
      </c>
      <c r="DZ75" s="596">
        <f t="shared" si="619"/>
        <v>0</v>
      </c>
      <c r="EA75" s="596">
        <f t="shared" si="620"/>
        <v>0</v>
      </c>
      <c r="EB75" s="603">
        <f t="shared" si="621"/>
        <v>0</v>
      </c>
    </row>
    <row r="76" spans="1:132" s="594" customFormat="1" ht="13.8" thickBot="1" x14ac:dyDescent="0.3">
      <c r="B76" s="594" t="str">
        <f>'Gårdens info'!C128</f>
        <v>Vinter fiberdukar 23 g/m2, vinterskydd</v>
      </c>
      <c r="C76" s="596">
        <f>'Gårdens info'!D128</f>
        <v>1100</v>
      </c>
      <c r="D76" s="594" t="s">
        <v>57</v>
      </c>
      <c r="E76" s="596">
        <v>2025</v>
      </c>
      <c r="F76" s="596">
        <f>'Gårdens info'!G128</f>
        <v>5</v>
      </c>
      <c r="G76" s="611" t="s">
        <v>31</v>
      </c>
      <c r="H76" s="612">
        <v>4</v>
      </c>
      <c r="I76" s="594">
        <f t="shared" si="622"/>
        <v>5500</v>
      </c>
      <c r="J76" s="597">
        <v>0</v>
      </c>
      <c r="K76" s="598">
        <v>0.05</v>
      </c>
      <c r="L76" s="599">
        <v>0</v>
      </c>
      <c r="M76" s="600">
        <v>0</v>
      </c>
      <c r="N76" s="600">
        <v>0</v>
      </c>
      <c r="O76" s="600">
        <v>0</v>
      </c>
      <c r="P76" s="600">
        <v>0</v>
      </c>
      <c r="Q76" s="600">
        <v>0</v>
      </c>
      <c r="R76" s="600">
        <v>0</v>
      </c>
      <c r="S76" s="600">
        <v>0</v>
      </c>
      <c r="T76" s="600">
        <v>0</v>
      </c>
      <c r="U76" s="600">
        <v>0</v>
      </c>
      <c r="V76" s="600">
        <v>0</v>
      </c>
      <c r="W76" s="600">
        <f>IF('Gårdens info'!$D$28&gt;0,'Gårdens info'!$D$28/('Gårdens info'!$D$28+'Gårdens info'!$D$29+'Gårdens info'!$D$30+'Gårdens info'!$D$31+'Gårdens info'!$D$33),0)</f>
        <v>1</v>
      </c>
      <c r="X76" s="600">
        <f>IF('Gårdens info'!$D$29&gt;0,'Gårdens info'!$D$29/('Gårdens info'!$D$28+'Gårdens info'!$D$29+'Gårdens info'!$D$30+'Gårdens info'!$D$31+'Gårdens info'!$D$33),0)</f>
        <v>0</v>
      </c>
      <c r="Y76" s="600">
        <f>IF('Gårdens info'!$D$30&gt;0,'Gårdens info'!$D$30/('Gårdens info'!$D$28+'Gårdens info'!$D$29+'Gårdens info'!$D$30+'Gårdens info'!$D$31+'Gårdens info'!$D$33),0)</f>
        <v>0</v>
      </c>
      <c r="Z76" s="600">
        <f>IF('Gårdens info'!$D$31&gt;0,'Gårdens info'!$D$31/('Gårdens info'!$D$28+'Gårdens info'!$D$29+'Gårdens info'!$D$30+'Gårdens info'!$D$31+'Gårdens info'!$D$33),0)</f>
        <v>0</v>
      </c>
      <c r="AA76" s="600">
        <v>0</v>
      </c>
      <c r="AB76" s="600">
        <v>0</v>
      </c>
      <c r="AC76" s="600">
        <v>0</v>
      </c>
      <c r="AD76" s="600">
        <v>0</v>
      </c>
      <c r="AE76" s="600">
        <v>0</v>
      </c>
      <c r="AF76" s="600">
        <v>0</v>
      </c>
      <c r="AG76" s="600">
        <v>0</v>
      </c>
      <c r="AH76" s="600">
        <v>0</v>
      </c>
      <c r="AI76" s="600">
        <v>0</v>
      </c>
      <c r="AJ76" s="604">
        <f t="shared" si="530"/>
        <v>1</v>
      </c>
      <c r="AK76" s="602">
        <f t="shared" si="531"/>
        <v>0</v>
      </c>
      <c r="AL76" s="596">
        <f t="shared" si="532"/>
        <v>0</v>
      </c>
      <c r="AM76" s="596">
        <f t="shared" si="533"/>
        <v>0</v>
      </c>
      <c r="AN76" s="596">
        <f t="shared" si="534"/>
        <v>0</v>
      </c>
      <c r="AO76" s="596">
        <f t="shared" si="534"/>
        <v>0</v>
      </c>
      <c r="AP76" s="596">
        <f t="shared" si="535"/>
        <v>0</v>
      </c>
      <c r="AQ76" s="596">
        <f t="shared" si="536"/>
        <v>0</v>
      </c>
      <c r="AR76" s="596">
        <f t="shared" si="537"/>
        <v>0</v>
      </c>
      <c r="AS76" s="596">
        <f t="shared" si="538"/>
        <v>0</v>
      </c>
      <c r="AT76" s="596">
        <f t="shared" si="539"/>
        <v>0</v>
      </c>
      <c r="AU76" s="596">
        <f t="shared" si="540"/>
        <v>0</v>
      </c>
      <c r="AV76" s="596">
        <f t="shared" si="541"/>
        <v>1375</v>
      </c>
      <c r="AW76" s="596">
        <f t="shared" si="542"/>
        <v>0</v>
      </c>
      <c r="AX76" s="596">
        <f t="shared" si="543"/>
        <v>0</v>
      </c>
      <c r="AY76" s="596">
        <f t="shared" si="544"/>
        <v>0</v>
      </c>
      <c r="AZ76" s="596">
        <f t="shared" si="545"/>
        <v>0</v>
      </c>
      <c r="BA76" s="596">
        <f t="shared" si="546"/>
        <v>0</v>
      </c>
      <c r="BB76" s="596">
        <f t="shared" si="547"/>
        <v>0</v>
      </c>
      <c r="BC76" s="596">
        <f t="shared" si="548"/>
        <v>0</v>
      </c>
      <c r="BD76" s="596">
        <f t="shared" si="549"/>
        <v>0</v>
      </c>
      <c r="BE76" s="596">
        <f t="shared" si="550"/>
        <v>0</v>
      </c>
      <c r="BF76" s="596">
        <f t="shared" si="551"/>
        <v>0</v>
      </c>
      <c r="BG76" s="596">
        <f t="shared" si="552"/>
        <v>0</v>
      </c>
      <c r="BH76" s="596">
        <f t="shared" si="553"/>
        <v>0</v>
      </c>
      <c r="BI76" s="602">
        <f t="shared" si="554"/>
        <v>0</v>
      </c>
      <c r="BJ76" s="596">
        <f t="shared" si="555"/>
        <v>0</v>
      </c>
      <c r="BK76" s="596">
        <f t="shared" si="556"/>
        <v>0</v>
      </c>
      <c r="BL76" s="596">
        <f t="shared" si="557"/>
        <v>0</v>
      </c>
      <c r="BM76" s="596">
        <f t="shared" si="557"/>
        <v>0</v>
      </c>
      <c r="BN76" s="596">
        <f t="shared" si="558"/>
        <v>0</v>
      </c>
      <c r="BO76" s="596">
        <f t="shared" si="559"/>
        <v>0</v>
      </c>
      <c r="BP76" s="596">
        <f t="shared" si="560"/>
        <v>0</v>
      </c>
      <c r="BQ76" s="596">
        <f t="shared" si="561"/>
        <v>0</v>
      </c>
      <c r="BR76" s="596">
        <f t="shared" si="562"/>
        <v>0</v>
      </c>
      <c r="BS76" s="596">
        <f t="shared" si="563"/>
        <v>0</v>
      </c>
      <c r="BT76" s="596">
        <f t="shared" si="564"/>
        <v>137.5</v>
      </c>
      <c r="BU76" s="596">
        <f t="shared" si="565"/>
        <v>0</v>
      </c>
      <c r="BV76" s="596">
        <f t="shared" si="566"/>
        <v>0</v>
      </c>
      <c r="BW76" s="596">
        <f t="shared" si="567"/>
        <v>0</v>
      </c>
      <c r="BX76" s="596">
        <f t="shared" si="568"/>
        <v>0</v>
      </c>
      <c r="BY76" s="596">
        <f t="shared" si="569"/>
        <v>0</v>
      </c>
      <c r="BZ76" s="596">
        <f t="shared" si="570"/>
        <v>0</v>
      </c>
      <c r="CA76" s="596">
        <f t="shared" si="571"/>
        <v>0</v>
      </c>
      <c r="CB76" s="596">
        <f t="shared" si="572"/>
        <v>0</v>
      </c>
      <c r="CC76" s="596">
        <f t="shared" si="573"/>
        <v>0</v>
      </c>
      <c r="CD76" s="596">
        <f t="shared" si="574"/>
        <v>0</v>
      </c>
      <c r="CE76" s="596">
        <f t="shared" si="575"/>
        <v>0</v>
      </c>
      <c r="CF76" s="596">
        <f t="shared" si="576"/>
        <v>0</v>
      </c>
      <c r="CG76" s="602">
        <f t="shared" si="577"/>
        <v>0</v>
      </c>
      <c r="CH76" s="596">
        <f t="shared" si="578"/>
        <v>0</v>
      </c>
      <c r="CI76" s="596">
        <f t="shared" si="579"/>
        <v>0</v>
      </c>
      <c r="CJ76" s="596">
        <f t="shared" si="580"/>
        <v>0</v>
      </c>
      <c r="CK76" s="596">
        <f t="shared" si="580"/>
        <v>0</v>
      </c>
      <c r="CL76" s="596">
        <f t="shared" si="581"/>
        <v>0</v>
      </c>
      <c r="CM76" s="596">
        <f t="shared" si="582"/>
        <v>0</v>
      </c>
      <c r="CN76" s="596">
        <f t="shared" si="583"/>
        <v>0</v>
      </c>
      <c r="CO76" s="596">
        <f t="shared" si="584"/>
        <v>0</v>
      </c>
      <c r="CP76" s="596">
        <f t="shared" si="585"/>
        <v>0</v>
      </c>
      <c r="CQ76" s="596">
        <f t="shared" si="586"/>
        <v>0</v>
      </c>
      <c r="CR76" s="596">
        <f t="shared" si="587"/>
        <v>275</v>
      </c>
      <c r="CS76" s="596">
        <f t="shared" si="588"/>
        <v>0</v>
      </c>
      <c r="CT76" s="596">
        <f t="shared" si="589"/>
        <v>0</v>
      </c>
      <c r="CU76" s="596">
        <f t="shared" si="590"/>
        <v>0</v>
      </c>
      <c r="CV76" s="596">
        <f t="shared" si="591"/>
        <v>0</v>
      </c>
      <c r="CW76" s="596">
        <f t="shared" si="592"/>
        <v>0</v>
      </c>
      <c r="CX76" s="596">
        <f t="shared" si="593"/>
        <v>0</v>
      </c>
      <c r="CY76" s="596">
        <f t="shared" si="594"/>
        <v>0</v>
      </c>
      <c r="CZ76" s="596">
        <f t="shared" si="595"/>
        <v>0</v>
      </c>
      <c r="DA76" s="596">
        <f t="shared" si="596"/>
        <v>0</v>
      </c>
      <c r="DB76" s="596">
        <f t="shared" si="597"/>
        <v>0</v>
      </c>
      <c r="DC76" s="596">
        <f t="shared" si="598"/>
        <v>0</v>
      </c>
      <c r="DD76" s="596">
        <f t="shared" si="599"/>
        <v>0</v>
      </c>
      <c r="DE76" s="602">
        <f t="shared" si="600"/>
        <v>0</v>
      </c>
      <c r="DF76" s="596"/>
      <c r="DG76" s="596">
        <f t="shared" si="601"/>
        <v>0</v>
      </c>
      <c r="DH76" s="596">
        <f t="shared" si="602"/>
        <v>0</v>
      </c>
      <c r="DI76" s="596">
        <f t="shared" si="602"/>
        <v>0</v>
      </c>
      <c r="DJ76" s="596">
        <f t="shared" si="603"/>
        <v>0</v>
      </c>
      <c r="DK76" s="596">
        <f t="shared" si="604"/>
        <v>0</v>
      </c>
      <c r="DL76" s="596">
        <f t="shared" si="605"/>
        <v>0</v>
      </c>
      <c r="DM76" s="596">
        <f t="shared" si="606"/>
        <v>0</v>
      </c>
      <c r="DN76" s="596">
        <f t="shared" si="607"/>
        <v>0</v>
      </c>
      <c r="DO76" s="596">
        <f t="shared" si="608"/>
        <v>0</v>
      </c>
      <c r="DP76" s="596">
        <f t="shared" si="609"/>
        <v>11</v>
      </c>
      <c r="DQ76" s="596">
        <f t="shared" si="610"/>
        <v>0</v>
      </c>
      <c r="DR76" s="596">
        <f t="shared" si="611"/>
        <v>0</v>
      </c>
      <c r="DS76" s="596">
        <f t="shared" si="612"/>
        <v>0</v>
      </c>
      <c r="DT76" s="596">
        <f t="shared" si="613"/>
        <v>0</v>
      </c>
      <c r="DU76" s="596">
        <f t="shared" si="614"/>
        <v>0</v>
      </c>
      <c r="DV76" s="596">
        <f t="shared" si="615"/>
        <v>0</v>
      </c>
      <c r="DW76" s="596">
        <f t="shared" si="616"/>
        <v>0</v>
      </c>
      <c r="DX76" s="596">
        <f t="shared" si="617"/>
        <v>0</v>
      </c>
      <c r="DY76" s="596">
        <f t="shared" si="618"/>
        <v>0</v>
      </c>
      <c r="DZ76" s="596">
        <f t="shared" si="619"/>
        <v>0</v>
      </c>
      <c r="EA76" s="596">
        <f t="shared" si="620"/>
        <v>0</v>
      </c>
      <c r="EB76" s="603">
        <f t="shared" si="621"/>
        <v>0</v>
      </c>
    </row>
    <row r="77" spans="1:132" s="594" customFormat="1" ht="13.8" thickBot="1" x14ac:dyDescent="0.3">
      <c r="B77" s="594" t="str">
        <f>'Gårdens info'!C129</f>
        <v>Jordgubbsplast</v>
      </c>
      <c r="C77" s="596">
        <f>'Gårdens info'!D129</f>
        <v>2.15</v>
      </c>
      <c r="D77" s="594" t="s">
        <v>129</v>
      </c>
      <c r="E77" s="596">
        <v>2023</v>
      </c>
      <c r="F77" s="596">
        <f>'Gårdens info'!G129</f>
        <v>1750</v>
      </c>
      <c r="G77" s="611" t="s">
        <v>124</v>
      </c>
      <c r="H77" s="612">
        <v>4</v>
      </c>
      <c r="I77" s="596">
        <f t="shared" si="622"/>
        <v>3762.5</v>
      </c>
      <c r="J77" s="597">
        <v>0</v>
      </c>
      <c r="K77" s="598">
        <v>0.05</v>
      </c>
      <c r="L77" s="599">
        <v>0</v>
      </c>
      <c r="M77" s="600">
        <v>0</v>
      </c>
      <c r="N77" s="600">
        <v>0</v>
      </c>
      <c r="O77" s="600">
        <v>0</v>
      </c>
      <c r="P77" s="600">
        <v>0</v>
      </c>
      <c r="Q77" s="600">
        <v>0</v>
      </c>
      <c r="R77" s="600">
        <v>0</v>
      </c>
      <c r="S77" s="600">
        <v>0</v>
      </c>
      <c r="T77" s="600">
        <v>0</v>
      </c>
      <c r="U77" s="600">
        <v>0</v>
      </c>
      <c r="V77" s="600">
        <v>0</v>
      </c>
      <c r="W77" s="600">
        <v>1</v>
      </c>
      <c r="X77" s="600">
        <v>0</v>
      </c>
      <c r="Y77" s="600">
        <v>0</v>
      </c>
      <c r="Z77" s="600">
        <v>0</v>
      </c>
      <c r="AA77" s="600">
        <v>0</v>
      </c>
      <c r="AB77" s="600">
        <v>0</v>
      </c>
      <c r="AC77" s="600">
        <v>0</v>
      </c>
      <c r="AD77" s="600">
        <v>0</v>
      </c>
      <c r="AE77" s="600">
        <v>0</v>
      </c>
      <c r="AF77" s="600">
        <v>0</v>
      </c>
      <c r="AG77" s="600">
        <v>0</v>
      </c>
      <c r="AH77" s="600">
        <v>0</v>
      </c>
      <c r="AI77" s="600">
        <v>0</v>
      </c>
      <c r="AJ77" s="604">
        <f>+SUM(L77:AI77)</f>
        <v>1</v>
      </c>
      <c r="AK77" s="602">
        <f t="shared" si="531"/>
        <v>0</v>
      </c>
      <c r="AL77" s="596">
        <f t="shared" si="532"/>
        <v>0</v>
      </c>
      <c r="AM77" s="596">
        <f t="shared" si="533"/>
        <v>0</v>
      </c>
      <c r="AN77" s="596">
        <f t="shared" si="534"/>
        <v>0</v>
      </c>
      <c r="AO77" s="596">
        <f t="shared" si="534"/>
        <v>0</v>
      </c>
      <c r="AP77" s="596">
        <f t="shared" si="535"/>
        <v>0</v>
      </c>
      <c r="AQ77" s="596">
        <f t="shared" si="536"/>
        <v>0</v>
      </c>
      <c r="AR77" s="596">
        <f t="shared" si="537"/>
        <v>0</v>
      </c>
      <c r="AS77" s="596">
        <f t="shared" si="538"/>
        <v>0</v>
      </c>
      <c r="AT77" s="596">
        <f t="shared" si="539"/>
        <v>0</v>
      </c>
      <c r="AU77" s="596">
        <f t="shared" si="540"/>
        <v>0</v>
      </c>
      <c r="AV77" s="596">
        <f t="shared" si="541"/>
        <v>940.625</v>
      </c>
      <c r="AW77" s="596">
        <f t="shared" si="542"/>
        <v>0</v>
      </c>
      <c r="AX77" s="596">
        <f t="shared" si="543"/>
        <v>0</v>
      </c>
      <c r="AY77" s="596">
        <f t="shared" si="544"/>
        <v>0</v>
      </c>
      <c r="AZ77" s="596">
        <f t="shared" si="545"/>
        <v>0</v>
      </c>
      <c r="BA77" s="596">
        <f t="shared" si="546"/>
        <v>0</v>
      </c>
      <c r="BB77" s="596">
        <f t="shared" si="547"/>
        <v>0</v>
      </c>
      <c r="BC77" s="596">
        <f t="shared" si="548"/>
        <v>0</v>
      </c>
      <c r="BD77" s="596">
        <f t="shared" si="549"/>
        <v>0</v>
      </c>
      <c r="BE77" s="596">
        <f t="shared" si="550"/>
        <v>0</v>
      </c>
      <c r="BF77" s="596">
        <f t="shared" si="551"/>
        <v>0</v>
      </c>
      <c r="BG77" s="596">
        <f t="shared" si="552"/>
        <v>0</v>
      </c>
      <c r="BH77" s="596">
        <f t="shared" si="553"/>
        <v>0</v>
      </c>
      <c r="BI77" s="602">
        <f t="shared" si="554"/>
        <v>0</v>
      </c>
      <c r="BJ77" s="596">
        <f t="shared" si="555"/>
        <v>0</v>
      </c>
      <c r="BK77" s="596">
        <f t="shared" si="556"/>
        <v>0</v>
      </c>
      <c r="BL77" s="596">
        <f t="shared" si="557"/>
        <v>0</v>
      </c>
      <c r="BM77" s="596">
        <f t="shared" si="557"/>
        <v>0</v>
      </c>
      <c r="BN77" s="596">
        <f t="shared" si="558"/>
        <v>0</v>
      </c>
      <c r="BO77" s="596">
        <f t="shared" si="559"/>
        <v>0</v>
      </c>
      <c r="BP77" s="596">
        <f t="shared" si="560"/>
        <v>0</v>
      </c>
      <c r="BQ77" s="596">
        <f t="shared" si="561"/>
        <v>0</v>
      </c>
      <c r="BR77" s="596">
        <f t="shared" si="562"/>
        <v>0</v>
      </c>
      <c r="BS77" s="596">
        <f t="shared" si="563"/>
        <v>0</v>
      </c>
      <c r="BT77" s="596">
        <f t="shared" si="564"/>
        <v>94.0625</v>
      </c>
      <c r="BU77" s="596">
        <f t="shared" si="565"/>
        <v>0</v>
      </c>
      <c r="BV77" s="596">
        <f t="shared" si="566"/>
        <v>0</v>
      </c>
      <c r="BW77" s="596">
        <f t="shared" si="567"/>
        <v>0</v>
      </c>
      <c r="BX77" s="596">
        <f t="shared" si="568"/>
        <v>0</v>
      </c>
      <c r="BY77" s="596">
        <f t="shared" si="569"/>
        <v>0</v>
      </c>
      <c r="BZ77" s="596">
        <f t="shared" si="570"/>
        <v>0</v>
      </c>
      <c r="CA77" s="596">
        <f t="shared" si="571"/>
        <v>0</v>
      </c>
      <c r="CB77" s="596">
        <f t="shared" si="572"/>
        <v>0</v>
      </c>
      <c r="CC77" s="596">
        <f t="shared" si="573"/>
        <v>0</v>
      </c>
      <c r="CD77" s="596">
        <f t="shared" si="574"/>
        <v>0</v>
      </c>
      <c r="CE77" s="596">
        <f t="shared" si="575"/>
        <v>0</v>
      </c>
      <c r="CF77" s="596">
        <f t="shared" si="576"/>
        <v>0</v>
      </c>
      <c r="CG77" s="602">
        <f t="shared" si="577"/>
        <v>0</v>
      </c>
      <c r="CH77" s="596">
        <f t="shared" si="578"/>
        <v>0</v>
      </c>
      <c r="CI77" s="596">
        <f t="shared" si="579"/>
        <v>0</v>
      </c>
      <c r="CJ77" s="596">
        <f t="shared" si="580"/>
        <v>0</v>
      </c>
      <c r="CK77" s="596">
        <f t="shared" si="580"/>
        <v>0</v>
      </c>
      <c r="CL77" s="596">
        <f t="shared" si="581"/>
        <v>0</v>
      </c>
      <c r="CM77" s="596">
        <f t="shared" si="582"/>
        <v>0</v>
      </c>
      <c r="CN77" s="596">
        <f t="shared" si="583"/>
        <v>0</v>
      </c>
      <c r="CO77" s="596">
        <f t="shared" si="584"/>
        <v>0</v>
      </c>
      <c r="CP77" s="596">
        <f t="shared" si="585"/>
        <v>0</v>
      </c>
      <c r="CQ77" s="596">
        <f t="shared" si="586"/>
        <v>0</v>
      </c>
      <c r="CR77" s="596">
        <f t="shared" si="587"/>
        <v>188.125</v>
      </c>
      <c r="CS77" s="596">
        <f t="shared" si="588"/>
        <v>0</v>
      </c>
      <c r="CT77" s="596">
        <f t="shared" si="589"/>
        <v>0</v>
      </c>
      <c r="CU77" s="596">
        <f t="shared" si="590"/>
        <v>0</v>
      </c>
      <c r="CV77" s="596">
        <f t="shared" si="591"/>
        <v>0</v>
      </c>
      <c r="CW77" s="596">
        <f t="shared" si="592"/>
        <v>0</v>
      </c>
      <c r="CX77" s="596">
        <f t="shared" si="593"/>
        <v>0</v>
      </c>
      <c r="CY77" s="596">
        <f t="shared" si="594"/>
        <v>0</v>
      </c>
      <c r="CZ77" s="596">
        <f t="shared" si="595"/>
        <v>0</v>
      </c>
      <c r="DA77" s="596">
        <f t="shared" si="596"/>
        <v>0</v>
      </c>
      <c r="DB77" s="596">
        <f t="shared" si="597"/>
        <v>0</v>
      </c>
      <c r="DC77" s="596">
        <f t="shared" si="598"/>
        <v>0</v>
      </c>
      <c r="DD77" s="596">
        <f t="shared" si="599"/>
        <v>0</v>
      </c>
      <c r="DE77" s="602">
        <f t="shared" si="600"/>
        <v>0</v>
      </c>
      <c r="DF77" s="596"/>
      <c r="DG77" s="596">
        <f t="shared" si="601"/>
        <v>0</v>
      </c>
      <c r="DH77" s="596">
        <f t="shared" si="602"/>
        <v>0</v>
      </c>
      <c r="DI77" s="596">
        <f t="shared" si="602"/>
        <v>0</v>
      </c>
      <c r="DJ77" s="596">
        <f t="shared" si="603"/>
        <v>0</v>
      </c>
      <c r="DK77" s="596">
        <f t="shared" si="604"/>
        <v>0</v>
      </c>
      <c r="DL77" s="596">
        <f t="shared" si="605"/>
        <v>0</v>
      </c>
      <c r="DM77" s="596">
        <f t="shared" si="606"/>
        <v>0</v>
      </c>
      <c r="DN77" s="596">
        <f t="shared" si="607"/>
        <v>0</v>
      </c>
      <c r="DO77" s="596">
        <f t="shared" si="608"/>
        <v>0</v>
      </c>
      <c r="DP77" s="596">
        <f t="shared" si="609"/>
        <v>7.5250000000000004</v>
      </c>
      <c r="DQ77" s="596">
        <f t="shared" si="610"/>
        <v>0</v>
      </c>
      <c r="DR77" s="596">
        <f t="shared" si="611"/>
        <v>0</v>
      </c>
      <c r="DS77" s="596">
        <f t="shared" si="612"/>
        <v>0</v>
      </c>
      <c r="DT77" s="596">
        <f t="shared" si="613"/>
        <v>0</v>
      </c>
      <c r="DU77" s="596">
        <f t="shared" si="614"/>
        <v>0</v>
      </c>
      <c r="DV77" s="596">
        <f t="shared" si="615"/>
        <v>0</v>
      </c>
      <c r="DW77" s="596">
        <f t="shared" si="616"/>
        <v>0</v>
      </c>
      <c r="DX77" s="596">
        <f t="shared" si="617"/>
        <v>0</v>
      </c>
      <c r="DY77" s="596">
        <f t="shared" si="618"/>
        <v>0</v>
      </c>
      <c r="DZ77" s="596">
        <f t="shared" si="619"/>
        <v>0</v>
      </c>
      <c r="EA77" s="596">
        <f t="shared" si="620"/>
        <v>0</v>
      </c>
      <c r="EB77" s="603">
        <f t="shared" si="621"/>
        <v>0</v>
      </c>
    </row>
    <row r="78" spans="1:132" s="594" customFormat="1" ht="13.8" thickBot="1" x14ac:dyDescent="0.3">
      <c r="B78" s="594" t="str">
        <f>'Gårdens info'!C130</f>
        <v>Täcktyg</v>
      </c>
      <c r="C78" s="596">
        <f>'Gårdens info'!D130</f>
        <v>4</v>
      </c>
      <c r="D78" s="594" t="s">
        <v>129</v>
      </c>
      <c r="E78" s="596">
        <v>2024</v>
      </c>
      <c r="F78" s="596">
        <f>'Gårdens info'!G130</f>
        <v>1751</v>
      </c>
      <c r="G78" s="611" t="s">
        <v>124</v>
      </c>
      <c r="H78" s="612">
        <v>8</v>
      </c>
      <c r="I78" s="596">
        <f t="shared" ref="I78" si="623">C78*F78</f>
        <v>7004</v>
      </c>
      <c r="J78" s="597">
        <v>0</v>
      </c>
      <c r="K78" s="598">
        <v>0.05</v>
      </c>
      <c r="L78" s="599">
        <v>0</v>
      </c>
      <c r="M78" s="600">
        <v>0</v>
      </c>
      <c r="N78" s="600">
        <v>0</v>
      </c>
      <c r="O78" s="600">
        <v>0</v>
      </c>
      <c r="P78" s="600">
        <v>0</v>
      </c>
      <c r="Q78" s="600">
        <v>0</v>
      </c>
      <c r="R78" s="600">
        <v>0</v>
      </c>
      <c r="S78" s="600">
        <v>0</v>
      </c>
      <c r="T78" s="600">
        <v>0</v>
      </c>
      <c r="U78" s="600">
        <v>0</v>
      </c>
      <c r="V78" s="600">
        <v>0</v>
      </c>
      <c r="W78" s="600">
        <v>0</v>
      </c>
      <c r="X78" s="600">
        <f>IF('Gårdens info'!$D$29&gt;0,'Gårdens info'!$D$29/('Gårdens info'!$D$28+'Gårdens info'!$D$29+'Gårdens info'!$D$30+'Gårdens info'!$D$31+'Gårdens info'!$D$33),0)</f>
        <v>0</v>
      </c>
      <c r="Y78" s="600">
        <f>IF('Gårdens info'!$D$30&gt;0,'Gårdens info'!$D$30/('Gårdens info'!$D$28+'Gårdens info'!$D$29+'Gårdens info'!$D$30+'Gårdens info'!$D$31+'Gårdens info'!$D$33),0)</f>
        <v>0</v>
      </c>
      <c r="Z78" s="600">
        <f>IF('Gårdens info'!$D$31&gt;0,'Gårdens info'!$D$31/('Gårdens info'!$D$28+'Gårdens info'!$D$29+'Gårdens info'!$D$30+'Gårdens info'!$D$31+'Gårdens info'!$D$33),0)</f>
        <v>0</v>
      </c>
      <c r="AA78" s="600">
        <v>0</v>
      </c>
      <c r="AB78" s="600">
        <f>IF('Gårdens info'!$D$33&gt;0,'Gårdens info'!$D$33/('Gårdens info'!$D$28+'Gårdens info'!$D$29+'Gårdens info'!$D$30+'Gårdens info'!$D$31+'Gårdens info'!$D$33),0)</f>
        <v>0</v>
      </c>
      <c r="AC78" s="600">
        <v>0</v>
      </c>
      <c r="AD78" s="600">
        <v>0</v>
      </c>
      <c r="AE78" s="600">
        <v>0</v>
      </c>
      <c r="AF78" s="600">
        <v>0</v>
      </c>
      <c r="AG78" s="600">
        <v>0</v>
      </c>
      <c r="AH78" s="600">
        <v>0</v>
      </c>
      <c r="AI78" s="600">
        <v>0</v>
      </c>
      <c r="AJ78" s="604">
        <f t="shared" si="530"/>
        <v>0</v>
      </c>
      <c r="AK78" s="602">
        <f t="shared" ref="AK78" si="624">IF((($C$7-$E78)&lt;=$H78),(($I78-$J78)/$H78*L78),0)</f>
        <v>0</v>
      </c>
      <c r="AL78" s="596">
        <f t="shared" si="532"/>
        <v>0</v>
      </c>
      <c r="AM78" s="596">
        <f t="shared" si="533"/>
        <v>0</v>
      </c>
      <c r="AN78" s="596">
        <f t="shared" si="534"/>
        <v>0</v>
      </c>
      <c r="AO78" s="596">
        <f t="shared" si="534"/>
        <v>0</v>
      </c>
      <c r="AP78" s="596">
        <f t="shared" si="535"/>
        <v>0</v>
      </c>
      <c r="AQ78" s="596">
        <f t="shared" si="536"/>
        <v>0</v>
      </c>
      <c r="AR78" s="596">
        <f t="shared" si="537"/>
        <v>0</v>
      </c>
      <c r="AS78" s="596">
        <f t="shared" si="538"/>
        <v>0</v>
      </c>
      <c r="AT78" s="596">
        <f t="shared" si="539"/>
        <v>0</v>
      </c>
      <c r="AU78" s="596">
        <f t="shared" si="540"/>
        <v>0</v>
      </c>
      <c r="AV78" s="596">
        <f t="shared" ref="AV78" si="625">IF((($C$7-$E78)&lt;=$H78),(($I78-$J78)/$H78*W78),0)</f>
        <v>0</v>
      </c>
      <c r="AW78" s="596">
        <f t="shared" ref="AW78" si="626">IF((($C$7-$E78)&lt;=$H78),(($I78-$J78)/$H78*X78),0)</f>
        <v>0</v>
      </c>
      <c r="AX78" s="596">
        <f t="shared" ref="AX78" si="627">IF((($C$7-$E78)&lt;=$H78),(($I78-$J78)/$H78*Y78),0)</f>
        <v>0</v>
      </c>
      <c r="AY78" s="596">
        <f t="shared" ref="AY78" si="628">IF((($C$7-$E78)&lt;=$H78),(($I78-$J78)/$H78*Z78),0)</f>
        <v>0</v>
      </c>
      <c r="AZ78" s="596">
        <f t="shared" ref="AZ78" si="629">IF((($C$7-$E78)&lt;=$H78),(($I78-$J78)/$H78*AA78),0)</f>
        <v>0</v>
      </c>
      <c r="BA78" s="596">
        <f t="shared" ref="BA78" si="630">IF((($C$7-$E78)&lt;=$H78),(($I78-$J78)/$H78*AB78),0)</f>
        <v>0</v>
      </c>
      <c r="BB78" s="596">
        <f t="shared" ref="BB78" si="631">IF((($C$7-$E78)&lt;=$H78),(($I78-$J78)/$H78*AC78),0)</f>
        <v>0</v>
      </c>
      <c r="BC78" s="596">
        <f t="shared" ref="BC78" si="632">IF((($C$7-$E78)&lt;=$H78),(($I78-$J78)/$H78*AD78),0)</f>
        <v>0</v>
      </c>
      <c r="BD78" s="596">
        <f t="shared" ref="BD78" si="633">IF((($C$7-$E78)&lt;=$H78),(($I78-$J78)/$H78*AE78),0)</f>
        <v>0</v>
      </c>
      <c r="BE78" s="596">
        <f t="shared" si="550"/>
        <v>0</v>
      </c>
      <c r="BF78" s="596">
        <f t="shared" si="551"/>
        <v>0</v>
      </c>
      <c r="BG78" s="596">
        <f t="shared" ref="BG78" si="634">IF((($C$7-$E78)&lt;=$H78),(($I78-$J78)/$H78*AH78),0)</f>
        <v>0</v>
      </c>
      <c r="BH78" s="596">
        <f t="shared" ref="BH78" si="635">IF((($C$7-$E78)&lt;=$H78),(($I78-$J78)/$H78*AI78),0)</f>
        <v>0</v>
      </c>
      <c r="BI78" s="602">
        <f t="shared" ref="BI78" si="636">IF(($C$7-$E78&lt;=$H78),(($I78+$J78)/2*$C$8*L78),0)</f>
        <v>0</v>
      </c>
      <c r="BJ78" s="596">
        <f t="shared" si="555"/>
        <v>0</v>
      </c>
      <c r="BK78" s="596">
        <f t="shared" si="556"/>
        <v>0</v>
      </c>
      <c r="BL78" s="596">
        <f t="shared" si="557"/>
        <v>0</v>
      </c>
      <c r="BM78" s="596">
        <f t="shared" si="557"/>
        <v>0</v>
      </c>
      <c r="BN78" s="596">
        <f t="shared" si="558"/>
        <v>0</v>
      </c>
      <c r="BO78" s="596">
        <f t="shared" si="559"/>
        <v>0</v>
      </c>
      <c r="BP78" s="596">
        <f t="shared" si="560"/>
        <v>0</v>
      </c>
      <c r="BQ78" s="596">
        <f t="shared" si="561"/>
        <v>0</v>
      </c>
      <c r="BR78" s="596">
        <f t="shared" si="562"/>
        <v>0</v>
      </c>
      <c r="BS78" s="596">
        <f t="shared" si="563"/>
        <v>0</v>
      </c>
      <c r="BT78" s="596">
        <f t="shared" ref="BT78" si="637">IF(($C$7-$E78&lt;=$H78),(($I78+$J78)/2*$C$8*W78),0)</f>
        <v>0</v>
      </c>
      <c r="BU78" s="596">
        <f t="shared" ref="BU78" si="638">IF(($C$7-$E78&lt;=$H78),(($I78+$J78)/2*$C$8*X78),0)</f>
        <v>0</v>
      </c>
      <c r="BV78" s="596">
        <f t="shared" ref="BV78" si="639">IF(($C$7-$E78&lt;=$H78),(($I78+$J78)/2*$C$8*Y78),0)</f>
        <v>0</v>
      </c>
      <c r="BW78" s="596">
        <f t="shared" ref="BW78" si="640">IF(($C$7-$E78&lt;=$H78),(($I78+$J78)/2*$C$8*Z78),0)</f>
        <v>0</v>
      </c>
      <c r="BX78" s="596">
        <f t="shared" ref="BX78" si="641">IF(($C$7-$E78&lt;=$H78),(($I78+$J78)/2*$C$8*AA78),0)</f>
        <v>0</v>
      </c>
      <c r="BY78" s="596">
        <f t="shared" ref="BY78" si="642">IF(($C$7-$E78&lt;=$H78),(($I78+$J78)/2*$C$8*AB78),0)</f>
        <v>0</v>
      </c>
      <c r="BZ78" s="596">
        <f t="shared" ref="BZ78" si="643">IF(($C$7-$E78&lt;=$H78),(($I78+$J78)/2*$C$8*AC78),0)</f>
        <v>0</v>
      </c>
      <c r="CA78" s="596">
        <f t="shared" ref="CA78" si="644">IF(($C$7-$E78&lt;=$H78),(($I78+$J78)/2*$C$8*AD78),0)</f>
        <v>0</v>
      </c>
      <c r="CB78" s="596">
        <f t="shared" ref="CB78" si="645">IF(($C$7-$E78&lt;=$H78),(($I78+$J78)/2*$C$8*AE78),0)</f>
        <v>0</v>
      </c>
      <c r="CC78" s="596">
        <f t="shared" si="573"/>
        <v>0</v>
      </c>
      <c r="CD78" s="596">
        <f t="shared" si="574"/>
        <v>0</v>
      </c>
      <c r="CE78" s="596">
        <f t="shared" ref="CE78" si="646">IF(($C$7-$E78&lt;=$H78),(($I78+$J78)/2*$C$8*AH78),0)</f>
        <v>0</v>
      </c>
      <c r="CF78" s="596">
        <f t="shared" ref="CF78" si="647">IF(($C$7-$E78&lt;=$H78),(($I78+$J78)/2*$C$8*AI78),0)</f>
        <v>0</v>
      </c>
      <c r="CG78" s="602">
        <f t="shared" ref="CG78" si="648">$I78*$K78*L78</f>
        <v>0</v>
      </c>
      <c r="CH78" s="596">
        <f t="shared" si="578"/>
        <v>0</v>
      </c>
      <c r="CI78" s="596">
        <f t="shared" si="579"/>
        <v>0</v>
      </c>
      <c r="CJ78" s="596">
        <f t="shared" si="580"/>
        <v>0</v>
      </c>
      <c r="CK78" s="596">
        <f t="shared" si="580"/>
        <v>0</v>
      </c>
      <c r="CL78" s="596">
        <f t="shared" si="581"/>
        <v>0</v>
      </c>
      <c r="CM78" s="596">
        <f t="shared" si="582"/>
        <v>0</v>
      </c>
      <c r="CN78" s="596">
        <f t="shared" si="583"/>
        <v>0</v>
      </c>
      <c r="CO78" s="596">
        <f t="shared" si="584"/>
        <v>0</v>
      </c>
      <c r="CP78" s="596">
        <f t="shared" si="585"/>
        <v>0</v>
      </c>
      <c r="CQ78" s="596">
        <f t="shared" si="586"/>
        <v>0</v>
      </c>
      <c r="CR78" s="596">
        <f t="shared" ref="CR78" si="649">$I78*$K78*W78</f>
        <v>0</v>
      </c>
      <c r="CS78" s="596">
        <f t="shared" ref="CS78" si="650">$I78*$K78*X78</f>
        <v>0</v>
      </c>
      <c r="CT78" s="596">
        <f t="shared" ref="CT78" si="651">$I78*$K78*Y78</f>
        <v>0</v>
      </c>
      <c r="CU78" s="596">
        <f t="shared" ref="CU78" si="652">$I78*$K78*Z78</f>
        <v>0</v>
      </c>
      <c r="CV78" s="596">
        <f t="shared" ref="CV78" si="653">$I78*$K78*AA78</f>
        <v>0</v>
      </c>
      <c r="CW78" s="596">
        <f t="shared" ref="CW78" si="654">$I78*$K78*AB78</f>
        <v>0</v>
      </c>
      <c r="CX78" s="596">
        <f t="shared" ref="CX78" si="655">$I78*$K78*AC78</f>
        <v>0</v>
      </c>
      <c r="CY78" s="596">
        <f t="shared" ref="CY78" si="656">$I78*$K78*AD78</f>
        <v>0</v>
      </c>
      <c r="CZ78" s="596">
        <f t="shared" ref="CZ78" si="657">$I78*$K78*AE78</f>
        <v>0</v>
      </c>
      <c r="DA78" s="596">
        <f t="shared" si="596"/>
        <v>0</v>
      </c>
      <c r="DB78" s="596">
        <f t="shared" si="597"/>
        <v>0</v>
      </c>
      <c r="DC78" s="596">
        <f t="shared" ref="DC78" si="658">$I78*$K78*AH78</f>
        <v>0</v>
      </c>
      <c r="DD78" s="596">
        <f t="shared" ref="DD78" si="659">$I78*$K78*AI78</f>
        <v>0</v>
      </c>
      <c r="DE78" s="602">
        <f t="shared" ref="DE78" si="660">$I78*$C$9*L78</f>
        <v>0</v>
      </c>
      <c r="DF78" s="596"/>
      <c r="DG78" s="596">
        <f t="shared" ref="DG78" si="661">$I78*$C$9*N78</f>
        <v>0</v>
      </c>
      <c r="DH78" s="596">
        <f t="shared" si="602"/>
        <v>0</v>
      </c>
      <c r="DI78" s="596">
        <f t="shared" si="602"/>
        <v>0</v>
      </c>
      <c r="DJ78" s="596">
        <f t="shared" si="603"/>
        <v>0</v>
      </c>
      <c r="DK78" s="596">
        <f t="shared" si="604"/>
        <v>0</v>
      </c>
      <c r="DL78" s="596">
        <f t="shared" si="605"/>
        <v>0</v>
      </c>
      <c r="DM78" s="596">
        <f t="shared" si="606"/>
        <v>0</v>
      </c>
      <c r="DN78" s="596">
        <f t="shared" si="607"/>
        <v>0</v>
      </c>
      <c r="DO78" s="596">
        <f t="shared" si="608"/>
        <v>0</v>
      </c>
      <c r="DP78" s="596">
        <f t="shared" ref="DP78" si="662">$I78*$C$9*W78</f>
        <v>0</v>
      </c>
      <c r="DQ78" s="596">
        <f t="shared" ref="DQ78" si="663">$I78*$C$9*X78</f>
        <v>0</v>
      </c>
      <c r="DR78" s="596">
        <f t="shared" ref="DR78" si="664">$I78*$C$9*Y78</f>
        <v>0</v>
      </c>
      <c r="DS78" s="596">
        <f t="shared" ref="DS78" si="665">$I78*$C$9*Z78</f>
        <v>0</v>
      </c>
      <c r="DT78" s="596">
        <f t="shared" ref="DT78" si="666">$I78*$C$9*AA78</f>
        <v>0</v>
      </c>
      <c r="DU78" s="596">
        <f t="shared" ref="DU78" si="667">$I78*$C$9*AB78</f>
        <v>0</v>
      </c>
      <c r="DV78" s="596">
        <f t="shared" ref="DV78" si="668">$I78*$C$9*AC78</f>
        <v>0</v>
      </c>
      <c r="DW78" s="596">
        <f t="shared" ref="DW78" si="669">$I78*$C$9*AD78</f>
        <v>0</v>
      </c>
      <c r="DX78" s="596">
        <f t="shared" ref="DX78" si="670">$I78*$C$9*AE78</f>
        <v>0</v>
      </c>
      <c r="DY78" s="596">
        <f t="shared" si="618"/>
        <v>0</v>
      </c>
      <c r="DZ78" s="596">
        <f t="shared" si="619"/>
        <v>0</v>
      </c>
      <c r="EA78" s="596">
        <f t="shared" ref="EA78" si="671">$I78*$C$9*AH78</f>
        <v>0</v>
      </c>
      <c r="EB78" s="603">
        <f t="shared" ref="EB78" si="672">$I78*$C$9*AI78</f>
        <v>0</v>
      </c>
    </row>
    <row r="79" spans="1:132" s="594" customFormat="1" ht="13.8" thickBot="1" x14ac:dyDescent="0.3">
      <c r="B79" s="594" t="str">
        <f>'Gårdens info'!C131</f>
        <v>Ryggspruta</v>
      </c>
      <c r="C79" s="596">
        <f>'Gårdens info'!D131</f>
        <v>200</v>
      </c>
      <c r="D79" s="594" t="s">
        <v>246</v>
      </c>
      <c r="E79" s="596">
        <v>2020</v>
      </c>
      <c r="F79" s="596">
        <f>'Gårdens info'!G131</f>
        <v>1</v>
      </c>
      <c r="G79" s="611" t="s">
        <v>31</v>
      </c>
      <c r="H79" s="612">
        <v>10</v>
      </c>
      <c r="I79" s="594">
        <f t="shared" si="622"/>
        <v>200</v>
      </c>
      <c r="J79" s="597">
        <v>0</v>
      </c>
      <c r="K79" s="598">
        <v>0.05</v>
      </c>
      <c r="L79"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79" s="600">
        <v>0</v>
      </c>
      <c r="N79"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79"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79"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79"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79"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79"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79"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79"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79"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79"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79"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79"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79"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79"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79"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79"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79" s="600">
        <v>0</v>
      </c>
      <c r="AE79" s="600">
        <v>0</v>
      </c>
      <c r="AF79" s="600">
        <v>0</v>
      </c>
      <c r="AG79" s="600">
        <v>0</v>
      </c>
      <c r="AH79" s="600">
        <v>0</v>
      </c>
      <c r="AI79" s="600">
        <v>0</v>
      </c>
      <c r="AJ79" s="604">
        <f t="shared" si="530"/>
        <v>1</v>
      </c>
      <c r="AK79" s="602">
        <f t="shared" si="531"/>
        <v>5.4054054054054053</v>
      </c>
      <c r="AL79" s="596">
        <f t="shared" si="532"/>
        <v>0</v>
      </c>
      <c r="AM79" s="596">
        <f t="shared" si="533"/>
        <v>5.4054054054054053</v>
      </c>
      <c r="AN79" s="596">
        <f t="shared" si="534"/>
        <v>1.0810810810810811</v>
      </c>
      <c r="AO79" s="596">
        <f t="shared" si="534"/>
        <v>2.7027027027027026</v>
      </c>
      <c r="AP79" s="596">
        <f t="shared" si="535"/>
        <v>1.0810810810810811</v>
      </c>
      <c r="AQ79" s="596">
        <f t="shared" si="536"/>
        <v>0</v>
      </c>
      <c r="AR79" s="596">
        <f t="shared" si="537"/>
        <v>0</v>
      </c>
      <c r="AS79" s="596">
        <f t="shared" si="538"/>
        <v>0</v>
      </c>
      <c r="AT79" s="596">
        <f t="shared" si="539"/>
        <v>0</v>
      </c>
      <c r="AU79" s="596">
        <f t="shared" si="540"/>
        <v>0</v>
      </c>
      <c r="AV79" s="596">
        <f t="shared" si="541"/>
        <v>1.6216216216216217</v>
      </c>
      <c r="AW79" s="596">
        <f t="shared" ref="AW79:AY82" si="673">IF((($C$7-$E79)&lt;=$H79),(($I79-$J79)/$H79*X79),0)</f>
        <v>0</v>
      </c>
      <c r="AX79" s="596">
        <f t="shared" si="673"/>
        <v>0</v>
      </c>
      <c r="AY79" s="596">
        <f t="shared" si="673"/>
        <v>0</v>
      </c>
      <c r="AZ79" s="596">
        <f t="shared" si="545"/>
        <v>0</v>
      </c>
      <c r="BA79" s="596">
        <f t="shared" si="546"/>
        <v>0</v>
      </c>
      <c r="BB79" s="596">
        <f t="shared" si="547"/>
        <v>2.7027027027027026</v>
      </c>
      <c r="BC79" s="596">
        <f t="shared" si="548"/>
        <v>0</v>
      </c>
      <c r="BD79" s="596">
        <f t="shared" si="549"/>
        <v>0</v>
      </c>
      <c r="BE79" s="596">
        <f t="shared" si="550"/>
        <v>0</v>
      </c>
      <c r="BF79" s="596">
        <f t="shared" si="551"/>
        <v>0</v>
      </c>
      <c r="BG79" s="596">
        <f t="shared" si="552"/>
        <v>0</v>
      </c>
      <c r="BH79" s="596">
        <f t="shared" si="553"/>
        <v>0</v>
      </c>
      <c r="BI79" s="602">
        <f t="shared" si="554"/>
        <v>1.3513513513513513</v>
      </c>
      <c r="BJ79" s="596">
        <f t="shared" si="555"/>
        <v>0</v>
      </c>
      <c r="BK79" s="596">
        <f t="shared" si="556"/>
        <v>1.3513513513513513</v>
      </c>
      <c r="BL79" s="596">
        <f t="shared" si="557"/>
        <v>0.27027027027027029</v>
      </c>
      <c r="BM79" s="596">
        <f t="shared" si="557"/>
        <v>0.67567567567567566</v>
      </c>
      <c r="BN79" s="596">
        <f t="shared" si="558"/>
        <v>0.27027027027027029</v>
      </c>
      <c r="BO79" s="596">
        <f t="shared" si="559"/>
        <v>0</v>
      </c>
      <c r="BP79" s="596">
        <f t="shared" si="560"/>
        <v>0</v>
      </c>
      <c r="BQ79" s="596">
        <f t="shared" si="561"/>
        <v>0</v>
      </c>
      <c r="BR79" s="596">
        <f t="shared" si="562"/>
        <v>0</v>
      </c>
      <c r="BS79" s="596">
        <f t="shared" si="563"/>
        <v>0</v>
      </c>
      <c r="BT79" s="596">
        <f t="shared" si="564"/>
        <v>0.40540540540540543</v>
      </c>
      <c r="BU79" s="596">
        <f t="shared" si="565"/>
        <v>0</v>
      </c>
      <c r="BV79" s="596">
        <f t="shared" si="566"/>
        <v>0</v>
      </c>
      <c r="BW79" s="596">
        <f t="shared" si="567"/>
        <v>0</v>
      </c>
      <c r="BX79" s="596">
        <f t="shared" si="568"/>
        <v>0</v>
      </c>
      <c r="BY79" s="596">
        <f t="shared" si="569"/>
        <v>0</v>
      </c>
      <c r="BZ79" s="596">
        <f t="shared" si="570"/>
        <v>0.67567567567567566</v>
      </c>
      <c r="CA79" s="596">
        <f t="shared" si="571"/>
        <v>0</v>
      </c>
      <c r="CB79" s="596">
        <f t="shared" si="572"/>
        <v>0</v>
      </c>
      <c r="CC79" s="596">
        <f t="shared" si="573"/>
        <v>0</v>
      </c>
      <c r="CD79" s="596">
        <f t="shared" si="574"/>
        <v>0</v>
      </c>
      <c r="CE79" s="596">
        <f t="shared" si="575"/>
        <v>0</v>
      </c>
      <c r="CF79" s="596">
        <f t="shared" si="576"/>
        <v>0</v>
      </c>
      <c r="CG79" s="602">
        <f t="shared" si="577"/>
        <v>2.7027027027027026</v>
      </c>
      <c r="CH79" s="596">
        <f t="shared" si="578"/>
        <v>0</v>
      </c>
      <c r="CI79" s="596">
        <f t="shared" si="579"/>
        <v>2.7027027027027026</v>
      </c>
      <c r="CJ79" s="596">
        <f t="shared" si="580"/>
        <v>0.54054054054054057</v>
      </c>
      <c r="CK79" s="596">
        <f t="shared" si="580"/>
        <v>1.3513513513513513</v>
      </c>
      <c r="CL79" s="596">
        <f t="shared" si="581"/>
        <v>0.54054054054054057</v>
      </c>
      <c r="CM79" s="596">
        <f t="shared" si="582"/>
        <v>0</v>
      </c>
      <c r="CN79" s="596">
        <f t="shared" si="583"/>
        <v>0</v>
      </c>
      <c r="CO79" s="596">
        <f t="shared" si="584"/>
        <v>0</v>
      </c>
      <c r="CP79" s="596">
        <f t="shared" si="585"/>
        <v>0</v>
      </c>
      <c r="CQ79" s="596">
        <f t="shared" si="586"/>
        <v>0</v>
      </c>
      <c r="CR79" s="596">
        <f t="shared" si="587"/>
        <v>0.81081081081081086</v>
      </c>
      <c r="CS79" s="596">
        <f t="shared" si="588"/>
        <v>0</v>
      </c>
      <c r="CT79" s="596">
        <f t="shared" si="589"/>
        <v>0</v>
      </c>
      <c r="CU79" s="596">
        <f t="shared" si="590"/>
        <v>0</v>
      </c>
      <c r="CV79" s="596">
        <f t="shared" si="591"/>
        <v>0</v>
      </c>
      <c r="CW79" s="596">
        <f t="shared" si="592"/>
        <v>0</v>
      </c>
      <c r="CX79" s="596">
        <f t="shared" si="593"/>
        <v>1.3513513513513513</v>
      </c>
      <c r="CY79" s="596">
        <f t="shared" si="594"/>
        <v>0</v>
      </c>
      <c r="CZ79" s="596">
        <f t="shared" si="595"/>
        <v>0</v>
      </c>
      <c r="DA79" s="596">
        <f t="shared" si="596"/>
        <v>0</v>
      </c>
      <c r="DB79" s="596">
        <f t="shared" si="597"/>
        <v>0</v>
      </c>
      <c r="DC79" s="596">
        <f t="shared" si="598"/>
        <v>0</v>
      </c>
      <c r="DD79" s="596">
        <f t="shared" si="599"/>
        <v>0</v>
      </c>
      <c r="DE79" s="602">
        <f t="shared" si="600"/>
        <v>0.10810810810810811</v>
      </c>
      <c r="DF79" s="596"/>
      <c r="DG79" s="596">
        <f t="shared" si="601"/>
        <v>0.10810810810810811</v>
      </c>
      <c r="DH79" s="596">
        <f t="shared" si="602"/>
        <v>2.1621621621621623E-2</v>
      </c>
      <c r="DI79" s="596">
        <f t="shared" si="602"/>
        <v>5.4054054054054057E-2</v>
      </c>
      <c r="DJ79" s="596">
        <f t="shared" si="603"/>
        <v>2.1621621621621623E-2</v>
      </c>
      <c r="DK79" s="596">
        <f t="shared" si="604"/>
        <v>0</v>
      </c>
      <c r="DL79" s="596">
        <f t="shared" si="605"/>
        <v>0</v>
      </c>
      <c r="DM79" s="596">
        <f t="shared" si="606"/>
        <v>0</v>
      </c>
      <c r="DN79" s="596">
        <f t="shared" si="607"/>
        <v>0</v>
      </c>
      <c r="DO79" s="596">
        <f t="shared" si="608"/>
        <v>0</v>
      </c>
      <c r="DP79" s="596">
        <f t="shared" si="609"/>
        <v>3.2432432432432434E-2</v>
      </c>
      <c r="DQ79" s="596">
        <f t="shared" si="610"/>
        <v>0</v>
      </c>
      <c r="DR79" s="596">
        <f t="shared" si="611"/>
        <v>0</v>
      </c>
      <c r="DS79" s="596">
        <f t="shared" si="612"/>
        <v>0</v>
      </c>
      <c r="DT79" s="596">
        <f t="shared" si="613"/>
        <v>0</v>
      </c>
      <c r="DU79" s="596">
        <f t="shared" si="614"/>
        <v>0</v>
      </c>
      <c r="DV79" s="596">
        <f t="shared" si="615"/>
        <v>5.4054054054054057E-2</v>
      </c>
      <c r="DW79" s="596">
        <f t="shared" si="616"/>
        <v>0</v>
      </c>
      <c r="DX79" s="596">
        <f t="shared" si="617"/>
        <v>0</v>
      </c>
      <c r="DY79" s="596">
        <f t="shared" si="618"/>
        <v>0</v>
      </c>
      <c r="DZ79" s="596">
        <f t="shared" si="619"/>
        <v>0</v>
      </c>
      <c r="EA79" s="596">
        <f t="shared" si="620"/>
        <v>0</v>
      </c>
      <c r="EB79" s="603">
        <f t="shared" si="621"/>
        <v>0</v>
      </c>
    </row>
    <row r="80" spans="1:132" s="594" customFormat="1" ht="13.8" thickBot="1" x14ac:dyDescent="0.3">
      <c r="B80" s="594" t="str">
        <f>'Gårdens info'!C132</f>
        <v>Handverktyg</v>
      </c>
      <c r="C80" s="596">
        <f>'Gårdens info'!D132</f>
        <v>500</v>
      </c>
      <c r="D80" s="594" t="s">
        <v>246</v>
      </c>
      <c r="E80" s="596">
        <v>2025</v>
      </c>
      <c r="F80" s="596">
        <f>'Gårdens info'!G132</f>
        <v>1</v>
      </c>
      <c r="G80" s="611" t="s">
        <v>31</v>
      </c>
      <c r="H80" s="612">
        <v>10</v>
      </c>
      <c r="I80" s="594">
        <f>C80*F80</f>
        <v>500</v>
      </c>
      <c r="J80" s="597">
        <v>0</v>
      </c>
      <c r="K80" s="598">
        <v>0.05</v>
      </c>
      <c r="L80"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80" s="600">
        <v>0</v>
      </c>
      <c r="N80"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80"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80"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80"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80"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80"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80"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80"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80"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80"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80"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80"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80"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80"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80"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80"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80" s="600">
        <v>0</v>
      </c>
      <c r="AE80" s="600">
        <v>0</v>
      </c>
      <c r="AF80" s="600">
        <v>0</v>
      </c>
      <c r="AG80" s="600">
        <v>0</v>
      </c>
      <c r="AH80" s="600">
        <v>0</v>
      </c>
      <c r="AI80" s="600">
        <v>0</v>
      </c>
      <c r="AJ80" s="604">
        <f t="shared" si="530"/>
        <v>1</v>
      </c>
      <c r="AK80" s="602">
        <f t="shared" si="531"/>
        <v>13.513513513513514</v>
      </c>
      <c r="AL80" s="596">
        <f t="shared" si="532"/>
        <v>0</v>
      </c>
      <c r="AM80" s="596">
        <f t="shared" si="533"/>
        <v>13.513513513513514</v>
      </c>
      <c r="AN80" s="596">
        <f t="shared" si="534"/>
        <v>2.7027027027027026</v>
      </c>
      <c r="AO80" s="596">
        <f t="shared" si="534"/>
        <v>6.756756756756757</v>
      </c>
      <c r="AP80" s="596">
        <f t="shared" si="535"/>
        <v>2.7027027027027026</v>
      </c>
      <c r="AQ80" s="596">
        <f t="shared" si="536"/>
        <v>0</v>
      </c>
      <c r="AR80" s="596">
        <f t="shared" si="537"/>
        <v>0</v>
      </c>
      <c r="AS80" s="596">
        <f t="shared" si="538"/>
        <v>0</v>
      </c>
      <c r="AT80" s="596">
        <f t="shared" si="539"/>
        <v>0</v>
      </c>
      <c r="AU80" s="596">
        <f t="shared" si="540"/>
        <v>0</v>
      </c>
      <c r="AV80" s="596">
        <f t="shared" si="541"/>
        <v>4.0540540540540544</v>
      </c>
      <c r="AW80" s="596">
        <f t="shared" si="673"/>
        <v>0</v>
      </c>
      <c r="AX80" s="596">
        <f t="shared" si="673"/>
        <v>0</v>
      </c>
      <c r="AY80" s="596">
        <f t="shared" si="673"/>
        <v>0</v>
      </c>
      <c r="AZ80" s="596">
        <f t="shared" si="545"/>
        <v>0</v>
      </c>
      <c r="BA80" s="596">
        <f t="shared" si="546"/>
        <v>0</v>
      </c>
      <c r="BB80" s="596">
        <f t="shared" si="547"/>
        <v>6.756756756756757</v>
      </c>
      <c r="BC80" s="596">
        <f t="shared" si="548"/>
        <v>0</v>
      </c>
      <c r="BD80" s="596">
        <f t="shared" si="549"/>
        <v>0</v>
      </c>
      <c r="BE80" s="596">
        <f t="shared" si="550"/>
        <v>0</v>
      </c>
      <c r="BF80" s="596">
        <f t="shared" si="551"/>
        <v>0</v>
      </c>
      <c r="BG80" s="596">
        <f t="shared" si="552"/>
        <v>0</v>
      </c>
      <c r="BH80" s="596">
        <f t="shared" si="553"/>
        <v>0</v>
      </c>
      <c r="BI80" s="602">
        <f t="shared" si="554"/>
        <v>3.3783783783783785</v>
      </c>
      <c r="BJ80" s="596">
        <f t="shared" si="555"/>
        <v>0</v>
      </c>
      <c r="BK80" s="596">
        <f t="shared" si="556"/>
        <v>3.3783783783783785</v>
      </c>
      <c r="BL80" s="596">
        <f t="shared" si="557"/>
        <v>0.67567567567567566</v>
      </c>
      <c r="BM80" s="596">
        <f t="shared" si="557"/>
        <v>1.6891891891891893</v>
      </c>
      <c r="BN80" s="596">
        <f t="shared" si="558"/>
        <v>0.67567567567567566</v>
      </c>
      <c r="BO80" s="596">
        <f t="shared" si="559"/>
        <v>0</v>
      </c>
      <c r="BP80" s="596">
        <f t="shared" si="560"/>
        <v>0</v>
      </c>
      <c r="BQ80" s="596">
        <f t="shared" si="561"/>
        <v>0</v>
      </c>
      <c r="BR80" s="596">
        <f t="shared" si="562"/>
        <v>0</v>
      </c>
      <c r="BS80" s="596">
        <f t="shared" si="563"/>
        <v>0</v>
      </c>
      <c r="BT80" s="596">
        <f t="shared" si="564"/>
        <v>1.0135135135135136</v>
      </c>
      <c r="BU80" s="596">
        <f t="shared" si="565"/>
        <v>0</v>
      </c>
      <c r="BV80" s="596">
        <f t="shared" si="566"/>
        <v>0</v>
      </c>
      <c r="BW80" s="596">
        <f t="shared" si="567"/>
        <v>0</v>
      </c>
      <c r="BX80" s="596">
        <f t="shared" si="568"/>
        <v>0</v>
      </c>
      <c r="BY80" s="596">
        <f t="shared" si="569"/>
        <v>0</v>
      </c>
      <c r="BZ80" s="596">
        <f t="shared" si="570"/>
        <v>1.6891891891891893</v>
      </c>
      <c r="CA80" s="596">
        <f t="shared" si="571"/>
        <v>0</v>
      </c>
      <c r="CB80" s="596">
        <f t="shared" si="572"/>
        <v>0</v>
      </c>
      <c r="CC80" s="596">
        <f t="shared" si="573"/>
        <v>0</v>
      </c>
      <c r="CD80" s="596">
        <f t="shared" si="574"/>
        <v>0</v>
      </c>
      <c r="CE80" s="596">
        <f t="shared" si="575"/>
        <v>0</v>
      </c>
      <c r="CF80" s="596">
        <f t="shared" si="576"/>
        <v>0</v>
      </c>
      <c r="CG80" s="602">
        <f t="shared" si="577"/>
        <v>6.756756756756757</v>
      </c>
      <c r="CH80" s="596">
        <f t="shared" si="578"/>
        <v>0</v>
      </c>
      <c r="CI80" s="596">
        <f t="shared" si="579"/>
        <v>6.756756756756757</v>
      </c>
      <c r="CJ80" s="596">
        <f t="shared" si="580"/>
        <v>1.3513513513513513</v>
      </c>
      <c r="CK80" s="596">
        <f t="shared" si="580"/>
        <v>3.3783783783783785</v>
      </c>
      <c r="CL80" s="596">
        <f t="shared" si="581"/>
        <v>1.3513513513513513</v>
      </c>
      <c r="CM80" s="596">
        <f t="shared" si="582"/>
        <v>0</v>
      </c>
      <c r="CN80" s="596">
        <f t="shared" si="583"/>
        <v>0</v>
      </c>
      <c r="CO80" s="596">
        <f t="shared" si="584"/>
        <v>0</v>
      </c>
      <c r="CP80" s="596">
        <f t="shared" si="585"/>
        <v>0</v>
      </c>
      <c r="CQ80" s="596">
        <f t="shared" si="586"/>
        <v>0</v>
      </c>
      <c r="CR80" s="596">
        <f t="shared" si="587"/>
        <v>2.0270270270270272</v>
      </c>
      <c r="CS80" s="596">
        <f t="shared" si="588"/>
        <v>0</v>
      </c>
      <c r="CT80" s="596">
        <f t="shared" si="589"/>
        <v>0</v>
      </c>
      <c r="CU80" s="596">
        <f t="shared" si="590"/>
        <v>0</v>
      </c>
      <c r="CV80" s="596">
        <f t="shared" si="591"/>
        <v>0</v>
      </c>
      <c r="CW80" s="596">
        <f t="shared" si="592"/>
        <v>0</v>
      </c>
      <c r="CX80" s="596">
        <f t="shared" si="593"/>
        <v>3.3783783783783785</v>
      </c>
      <c r="CY80" s="596">
        <f t="shared" si="594"/>
        <v>0</v>
      </c>
      <c r="CZ80" s="596">
        <f t="shared" si="595"/>
        <v>0</v>
      </c>
      <c r="DA80" s="596">
        <f t="shared" si="596"/>
        <v>0</v>
      </c>
      <c r="DB80" s="596">
        <f t="shared" si="597"/>
        <v>0</v>
      </c>
      <c r="DC80" s="596">
        <f t="shared" si="598"/>
        <v>0</v>
      </c>
      <c r="DD80" s="596">
        <f t="shared" si="599"/>
        <v>0</v>
      </c>
      <c r="DE80" s="602">
        <f t="shared" si="600"/>
        <v>0.27027027027027029</v>
      </c>
      <c r="DF80" s="596"/>
      <c r="DG80" s="596">
        <f t="shared" si="601"/>
        <v>0.27027027027027029</v>
      </c>
      <c r="DH80" s="596">
        <f t="shared" si="602"/>
        <v>5.4054054054054057E-2</v>
      </c>
      <c r="DI80" s="596">
        <f t="shared" si="602"/>
        <v>0.13513513513513514</v>
      </c>
      <c r="DJ80" s="596">
        <f t="shared" si="603"/>
        <v>5.4054054054054057E-2</v>
      </c>
      <c r="DK80" s="596">
        <f t="shared" si="604"/>
        <v>0</v>
      </c>
      <c r="DL80" s="596">
        <f t="shared" si="605"/>
        <v>0</v>
      </c>
      <c r="DM80" s="596">
        <f t="shared" si="606"/>
        <v>0</v>
      </c>
      <c r="DN80" s="596">
        <f t="shared" si="607"/>
        <v>0</v>
      </c>
      <c r="DO80" s="596">
        <f t="shared" si="608"/>
        <v>0</v>
      </c>
      <c r="DP80" s="596">
        <f t="shared" si="609"/>
        <v>8.1081081081081086E-2</v>
      </c>
      <c r="DQ80" s="596">
        <f t="shared" si="610"/>
        <v>0</v>
      </c>
      <c r="DR80" s="596">
        <f t="shared" si="611"/>
        <v>0</v>
      </c>
      <c r="DS80" s="596">
        <f t="shared" si="612"/>
        <v>0</v>
      </c>
      <c r="DT80" s="596">
        <f t="shared" si="613"/>
        <v>0</v>
      </c>
      <c r="DU80" s="596">
        <f t="shared" si="614"/>
        <v>0</v>
      </c>
      <c r="DV80" s="596">
        <f t="shared" si="615"/>
        <v>0.13513513513513514</v>
      </c>
      <c r="DW80" s="596">
        <f t="shared" si="616"/>
        <v>0</v>
      </c>
      <c r="DX80" s="596">
        <f t="shared" si="617"/>
        <v>0</v>
      </c>
      <c r="DY80" s="596">
        <f t="shared" si="618"/>
        <v>0</v>
      </c>
      <c r="DZ80" s="596">
        <f t="shared" si="619"/>
        <v>0</v>
      </c>
      <c r="EA80" s="596">
        <f t="shared" si="620"/>
        <v>0</v>
      </c>
      <c r="EB80" s="603">
        <f t="shared" si="621"/>
        <v>0</v>
      </c>
    </row>
    <row r="81" spans="1:132" s="594" customFormat="1" ht="13.8" thickBot="1" x14ac:dyDescent="0.3">
      <c r="B81" s="594" t="str">
        <f>'Gårdens info'!C133</f>
        <v>Växttunnel ram inkl. uppsättning</v>
      </c>
      <c r="C81" s="613">
        <f>'Gårdens info'!D133</f>
        <v>5.5</v>
      </c>
      <c r="D81" s="594" t="s">
        <v>134</v>
      </c>
      <c r="E81" s="596">
        <f>'Gårdens info'!J133</f>
        <v>2020</v>
      </c>
      <c r="F81" s="596">
        <f>'Gårdens info'!G133</f>
        <v>5000</v>
      </c>
      <c r="G81" s="611" t="s">
        <v>30</v>
      </c>
      <c r="H81" s="612">
        <v>10</v>
      </c>
      <c r="I81" s="594">
        <f>C81*F81</f>
        <v>27500</v>
      </c>
      <c r="J81" s="597">
        <v>0</v>
      </c>
      <c r="K81" s="598">
        <v>0.05</v>
      </c>
      <c r="L81" s="599">
        <v>0</v>
      </c>
      <c r="M81" s="600">
        <v>0</v>
      </c>
      <c r="N81" s="600">
        <v>0</v>
      </c>
      <c r="O81" s="600">
        <v>0</v>
      </c>
      <c r="P81" s="600">
        <v>0</v>
      </c>
      <c r="Q81" s="600">
        <v>0</v>
      </c>
      <c r="R81" s="600">
        <v>0</v>
      </c>
      <c r="S81" s="600">
        <v>0</v>
      </c>
      <c r="T81" s="600">
        <v>0</v>
      </c>
      <c r="U81" s="600">
        <v>0</v>
      </c>
      <c r="V81" s="600">
        <v>0</v>
      </c>
      <c r="W81" s="600">
        <v>0</v>
      </c>
      <c r="X81" s="600">
        <f>IF('Gårdens info'!$D$29&gt;0,'Gårdens info'!$D$29/('Gårdens info'!$D$28+'Gårdens info'!$D$29+'Gårdens info'!$D$30+'Gårdens info'!$D$31+'Gårdens info'!$D$33),0)</f>
        <v>0</v>
      </c>
      <c r="Y81" s="600">
        <v>0</v>
      </c>
      <c r="Z81" s="600">
        <f>IF('Gårdens info'!$D$31&gt;0,'Gårdens info'!$D$31/('Gårdens info'!$D$28+'Gårdens info'!$D$29+'Gårdens info'!$D$30+'Gårdens info'!$D$31+'Gårdens info'!$D$33),0)</f>
        <v>0</v>
      </c>
      <c r="AA81" s="600">
        <v>0</v>
      </c>
      <c r="AB81" s="600">
        <v>0</v>
      </c>
      <c r="AC81" s="600">
        <v>0</v>
      </c>
      <c r="AD81" s="600">
        <v>0</v>
      </c>
      <c r="AE81" s="600">
        <v>0</v>
      </c>
      <c r="AF81" s="600">
        <v>0</v>
      </c>
      <c r="AG81" s="600">
        <v>0</v>
      </c>
      <c r="AH81" s="600">
        <v>0</v>
      </c>
      <c r="AI81" s="600">
        <v>0</v>
      </c>
      <c r="AJ81" s="604">
        <f t="shared" si="530"/>
        <v>0</v>
      </c>
      <c r="AK81" s="602">
        <f t="shared" si="531"/>
        <v>0</v>
      </c>
      <c r="AL81" s="596">
        <f>IF((($C$7-$E81)&lt;=$H81),(($I81-$J81)/$H81*M81),0)</f>
        <v>0</v>
      </c>
      <c r="AM81" s="596">
        <f t="shared" ref="AM81:AM85" si="674">IF((($C$7-$E81)&lt;=$H81),(($I81-$J81)/$H81*N81),0)</f>
        <v>0</v>
      </c>
      <c r="AN81" s="596">
        <f t="shared" si="534"/>
        <v>0</v>
      </c>
      <c r="AO81" s="596">
        <f t="shared" si="534"/>
        <v>0</v>
      </c>
      <c r="AP81" s="596">
        <f t="shared" si="535"/>
        <v>0</v>
      </c>
      <c r="AQ81" s="596">
        <f t="shared" si="536"/>
        <v>0</v>
      </c>
      <c r="AR81" s="596">
        <f t="shared" si="537"/>
        <v>0</v>
      </c>
      <c r="AS81" s="596">
        <f t="shared" si="538"/>
        <v>0</v>
      </c>
      <c r="AT81" s="596">
        <f t="shared" si="539"/>
        <v>0</v>
      </c>
      <c r="AU81" s="596">
        <f t="shared" si="540"/>
        <v>0</v>
      </c>
      <c r="AV81" s="596">
        <f t="shared" si="541"/>
        <v>0</v>
      </c>
      <c r="AW81" s="596">
        <f t="shared" si="673"/>
        <v>0</v>
      </c>
      <c r="AX81" s="596">
        <f t="shared" si="673"/>
        <v>0</v>
      </c>
      <c r="AY81" s="596">
        <f t="shared" si="673"/>
        <v>0</v>
      </c>
      <c r="AZ81" s="596">
        <f t="shared" si="545"/>
        <v>0</v>
      </c>
      <c r="BA81" s="596">
        <f t="shared" si="546"/>
        <v>0</v>
      </c>
      <c r="BB81" s="596">
        <f t="shared" si="547"/>
        <v>0</v>
      </c>
      <c r="BC81" s="596">
        <f t="shared" si="548"/>
        <v>0</v>
      </c>
      <c r="BD81" s="596">
        <f t="shared" si="549"/>
        <v>0</v>
      </c>
      <c r="BE81" s="596">
        <f t="shared" si="550"/>
        <v>0</v>
      </c>
      <c r="BF81" s="596">
        <f t="shared" si="551"/>
        <v>0</v>
      </c>
      <c r="BG81" s="596">
        <f t="shared" si="552"/>
        <v>0</v>
      </c>
      <c r="BH81" s="596">
        <f t="shared" si="553"/>
        <v>0</v>
      </c>
      <c r="BI81" s="602">
        <f t="shared" si="554"/>
        <v>0</v>
      </c>
      <c r="BJ81" s="596">
        <f t="shared" si="555"/>
        <v>0</v>
      </c>
      <c r="BK81" s="596">
        <f t="shared" si="556"/>
        <v>0</v>
      </c>
      <c r="BL81" s="596">
        <f t="shared" si="557"/>
        <v>0</v>
      </c>
      <c r="BM81" s="596">
        <f t="shared" si="557"/>
        <v>0</v>
      </c>
      <c r="BN81" s="596">
        <f t="shared" si="558"/>
        <v>0</v>
      </c>
      <c r="BO81" s="596">
        <f t="shared" si="559"/>
        <v>0</v>
      </c>
      <c r="BP81" s="596">
        <f t="shared" si="560"/>
        <v>0</v>
      </c>
      <c r="BQ81" s="596">
        <f t="shared" si="561"/>
        <v>0</v>
      </c>
      <c r="BR81" s="596">
        <f t="shared" si="562"/>
        <v>0</v>
      </c>
      <c r="BS81" s="596">
        <f t="shared" si="563"/>
        <v>0</v>
      </c>
      <c r="BT81" s="596">
        <f t="shared" si="564"/>
        <v>0</v>
      </c>
      <c r="BU81" s="596">
        <f t="shared" si="565"/>
        <v>0</v>
      </c>
      <c r="BV81" s="596">
        <f t="shared" si="566"/>
        <v>0</v>
      </c>
      <c r="BW81" s="596">
        <f t="shared" si="567"/>
        <v>0</v>
      </c>
      <c r="BX81" s="596">
        <f t="shared" si="568"/>
        <v>0</v>
      </c>
      <c r="BY81" s="596">
        <f t="shared" si="569"/>
        <v>0</v>
      </c>
      <c r="BZ81" s="596">
        <f t="shared" si="570"/>
        <v>0</v>
      </c>
      <c r="CA81" s="596">
        <f t="shared" si="571"/>
        <v>0</v>
      </c>
      <c r="CB81" s="596">
        <f t="shared" si="572"/>
        <v>0</v>
      </c>
      <c r="CC81" s="596">
        <f t="shared" si="573"/>
        <v>0</v>
      </c>
      <c r="CD81" s="596">
        <f t="shared" si="574"/>
        <v>0</v>
      </c>
      <c r="CE81" s="596">
        <f t="shared" si="575"/>
        <v>0</v>
      </c>
      <c r="CF81" s="596">
        <f t="shared" si="576"/>
        <v>0</v>
      </c>
      <c r="CG81" s="602">
        <f t="shared" si="577"/>
        <v>0</v>
      </c>
      <c r="CH81" s="596">
        <f>$I81*$K81*M81</f>
        <v>0</v>
      </c>
      <c r="CI81" s="596">
        <f t="shared" ref="CI81:CI85" si="675">$I81*$K81*N81</f>
        <v>0</v>
      </c>
      <c r="CJ81" s="596">
        <f t="shared" ref="CJ81:CK85" si="676">$I81*$K81*O81</f>
        <v>0</v>
      </c>
      <c r="CK81" s="596">
        <f t="shared" si="676"/>
        <v>0</v>
      </c>
      <c r="CL81" s="596">
        <f t="shared" ref="CL81:CL85" si="677">$I81*$K81*Q81</f>
        <v>0</v>
      </c>
      <c r="CM81" s="596">
        <f t="shared" ref="CM81:CM85" si="678">$I81*$K81*R81</f>
        <v>0</v>
      </c>
      <c r="CN81" s="596">
        <f t="shared" ref="CN81:CN85" si="679">$I81*$K81*S81</f>
        <v>0</v>
      </c>
      <c r="CO81" s="596">
        <f t="shared" ref="CO81:CO85" si="680">$I81*$K81*T81</f>
        <v>0</v>
      </c>
      <c r="CP81" s="596">
        <f t="shared" ref="CP81:CP85" si="681">$I81*$K81*U81</f>
        <v>0</v>
      </c>
      <c r="CQ81" s="596">
        <f t="shared" ref="CQ81:CQ85" si="682">$I81*$K81*V81</f>
        <v>0</v>
      </c>
      <c r="CR81" s="596">
        <f t="shared" ref="CR81:CR85" si="683">$I81*$K81*W81</f>
        <v>0</v>
      </c>
      <c r="CS81" s="596">
        <f t="shared" ref="CS81:CS85" si="684">$I81*$K81*X81</f>
        <v>0</v>
      </c>
      <c r="CT81" s="596">
        <f t="shared" ref="CT81:CT85" si="685">$I81*$K81*Y81</f>
        <v>0</v>
      </c>
      <c r="CU81" s="596">
        <f t="shared" ref="CU81:CU85" si="686">$I81*$K81*Z81</f>
        <v>0</v>
      </c>
      <c r="CV81" s="596">
        <f t="shared" ref="CV81:CV85" si="687">$I81*$K81*AA81</f>
        <v>0</v>
      </c>
      <c r="CW81" s="596">
        <f t="shared" ref="CW81:CW85" si="688">$I81*$K81*AB81</f>
        <v>0</v>
      </c>
      <c r="CX81" s="596">
        <f t="shared" ref="CX81:CX85" si="689">$I81*$K81*AC81</f>
        <v>0</v>
      </c>
      <c r="CY81" s="596">
        <f t="shared" ref="CY81:CY85" si="690">$I81*$K81*AD81</f>
        <v>0</v>
      </c>
      <c r="CZ81" s="596">
        <f t="shared" ref="CZ81:CZ85" si="691">$I81*$K81*AE81</f>
        <v>0</v>
      </c>
      <c r="DA81" s="596">
        <f t="shared" ref="DA81:DA85" si="692">$I81*$K81*AF81</f>
        <v>0</v>
      </c>
      <c r="DB81" s="596">
        <f t="shared" ref="DB81:DB85" si="693">$I81*$K81*AG81</f>
        <v>0</v>
      </c>
      <c r="DC81" s="596">
        <f t="shared" ref="DC81:DC85" si="694">$I81*$K81*AH81</f>
        <v>0</v>
      </c>
      <c r="DD81" s="596">
        <f t="shared" ref="DD81:DD85" si="695">$I81*$K81*AI81</f>
        <v>0</v>
      </c>
      <c r="DE81" s="602">
        <f t="shared" ref="DE81:DE85" si="696">$I81*$C$9*L81</f>
        <v>0</v>
      </c>
      <c r="DF81" s="596"/>
      <c r="DG81" s="596">
        <f t="shared" ref="DG81:DG85" si="697">$I81*$C$9*N81</f>
        <v>0</v>
      </c>
      <c r="DH81" s="596">
        <f t="shared" ref="DH81:DI85" si="698">$I81*$C$9*O81</f>
        <v>0</v>
      </c>
      <c r="DI81" s="596">
        <f t="shared" si="698"/>
        <v>0</v>
      </c>
      <c r="DJ81" s="596">
        <f t="shared" ref="DJ81:DJ85" si="699">$I81*$C$9*Q81</f>
        <v>0</v>
      </c>
      <c r="DK81" s="596">
        <f t="shared" ref="DK81:DK85" si="700">$I81*$C$9*R81</f>
        <v>0</v>
      </c>
      <c r="DL81" s="596">
        <f t="shared" ref="DL81:DL85" si="701">$I81*$C$9*S81</f>
        <v>0</v>
      </c>
      <c r="DM81" s="596">
        <f t="shared" ref="DM81:DM85" si="702">$I81*$C$9*T81</f>
        <v>0</v>
      </c>
      <c r="DN81" s="596">
        <f t="shared" ref="DN81:DN85" si="703">$I81*$C$9*U81</f>
        <v>0</v>
      </c>
      <c r="DO81" s="596">
        <f t="shared" ref="DO81:DO85" si="704">$I81*$C$9*V81</f>
        <v>0</v>
      </c>
      <c r="DP81" s="596">
        <f t="shared" ref="DP81:DP85" si="705">$I81*$C$9*W81</f>
        <v>0</v>
      </c>
      <c r="DQ81" s="596">
        <f t="shared" ref="DQ81:DQ85" si="706">$I81*$C$9*X81</f>
        <v>0</v>
      </c>
      <c r="DR81" s="596">
        <f t="shared" ref="DR81:DR85" si="707">$I81*$C$9*Y81</f>
        <v>0</v>
      </c>
      <c r="DS81" s="596">
        <f t="shared" ref="DS81:DS85" si="708">$I81*$C$9*Z81</f>
        <v>0</v>
      </c>
      <c r="DT81" s="596">
        <f t="shared" ref="DT81:DT85" si="709">$I81*$C$9*AA81</f>
        <v>0</v>
      </c>
      <c r="DU81" s="596">
        <f t="shared" ref="DU81:DU85" si="710">$I81*$C$9*AB81</f>
        <v>0</v>
      </c>
      <c r="DV81" s="596">
        <f t="shared" ref="DV81:DV85" si="711">$I81*$C$9*AC81</f>
        <v>0</v>
      </c>
      <c r="DW81" s="596">
        <f t="shared" ref="DW81:DW85" si="712">$I81*$C$9*AD81</f>
        <v>0</v>
      </c>
      <c r="DX81" s="596">
        <f t="shared" ref="DX81:DX85" si="713">$I81*$C$9*AE81</f>
        <v>0</v>
      </c>
      <c r="DY81" s="596">
        <f t="shared" ref="DY81:DY85" si="714">$I81*$C$9*AF81</f>
        <v>0</v>
      </c>
      <c r="DZ81" s="596">
        <f t="shared" ref="DZ81:DZ85" si="715">$I81*$C$9*AG81</f>
        <v>0</v>
      </c>
      <c r="EA81" s="596">
        <f t="shared" ref="EA81:EA85" si="716">$I81*$C$9*AH81</f>
        <v>0</v>
      </c>
      <c r="EB81" s="603">
        <f t="shared" ref="EB81:EB85" si="717">$I81*$C$9*AI81</f>
        <v>0</v>
      </c>
    </row>
    <row r="82" spans="1:132" s="594" customFormat="1" ht="13.8" thickBot="1" x14ac:dyDescent="0.3">
      <c r="B82" s="594" t="str">
        <f>'Gårdens info'!C134</f>
        <v>Växttunnelplast</v>
      </c>
      <c r="C82" s="613">
        <f>'Gårdens info'!D134</f>
        <v>1</v>
      </c>
      <c r="D82" s="594" t="s">
        <v>134</v>
      </c>
      <c r="E82" s="596">
        <f>'Gårdens info'!J134</f>
        <v>2020</v>
      </c>
      <c r="F82" s="596">
        <f>'Gårdens info'!G134</f>
        <v>5000</v>
      </c>
      <c r="G82" s="611" t="s">
        <v>30</v>
      </c>
      <c r="H82" s="612">
        <v>5</v>
      </c>
      <c r="I82" s="594">
        <f t="shared" ref="I82:I85" si="718">C82*F82</f>
        <v>5000</v>
      </c>
      <c r="J82" s="597">
        <v>0</v>
      </c>
      <c r="K82" s="598">
        <v>0.05</v>
      </c>
      <c r="L82" s="599">
        <v>0</v>
      </c>
      <c r="M82" s="600">
        <v>0</v>
      </c>
      <c r="N82" s="600">
        <v>0</v>
      </c>
      <c r="O82" s="600">
        <v>0</v>
      </c>
      <c r="P82" s="600">
        <v>0</v>
      </c>
      <c r="Q82" s="600">
        <v>0</v>
      </c>
      <c r="R82" s="600">
        <v>0</v>
      </c>
      <c r="S82" s="600">
        <v>0</v>
      </c>
      <c r="T82" s="600">
        <v>0</v>
      </c>
      <c r="U82" s="600">
        <v>0</v>
      </c>
      <c r="V82" s="600">
        <v>0</v>
      </c>
      <c r="W82" s="600">
        <v>0</v>
      </c>
      <c r="X82" s="600">
        <f>IF('Gårdens info'!$D$29&gt;0,'Gårdens info'!$D$29/('Gårdens info'!$D$28+'Gårdens info'!$D$29+'Gårdens info'!$D$30+'Gårdens info'!$D$31+'Gårdens info'!$D$33),0)</f>
        <v>0</v>
      </c>
      <c r="Y82" s="600">
        <v>0</v>
      </c>
      <c r="Z82" s="600">
        <f>IF('Gårdens info'!$D$31&gt;0,'Gårdens info'!$D$31/('Gårdens info'!$D$28+'Gårdens info'!$D$29+'Gårdens info'!$D$30+'Gårdens info'!$D$31+'Gårdens info'!$D$33),0)</f>
        <v>0</v>
      </c>
      <c r="AA82" s="600">
        <v>0</v>
      </c>
      <c r="AB82" s="600">
        <v>0</v>
      </c>
      <c r="AC82" s="600">
        <v>0</v>
      </c>
      <c r="AD82" s="600">
        <v>0</v>
      </c>
      <c r="AE82" s="600">
        <v>0</v>
      </c>
      <c r="AF82" s="600">
        <v>0</v>
      </c>
      <c r="AG82" s="600">
        <v>0</v>
      </c>
      <c r="AH82" s="600">
        <v>0</v>
      </c>
      <c r="AI82" s="600">
        <v>0</v>
      </c>
      <c r="AJ82" s="604">
        <f t="shared" si="530"/>
        <v>0</v>
      </c>
      <c r="AK82" s="602">
        <f t="shared" si="531"/>
        <v>0</v>
      </c>
      <c r="AL82" s="596">
        <f>IF((($C$7-$E82)&lt;=$H82),(($I82-$J82)/$H82*M82),0)</f>
        <v>0</v>
      </c>
      <c r="AM82" s="596">
        <f t="shared" si="674"/>
        <v>0</v>
      </c>
      <c r="AN82" s="596">
        <f t="shared" si="534"/>
        <v>0</v>
      </c>
      <c r="AO82" s="596">
        <f t="shared" si="534"/>
        <v>0</v>
      </c>
      <c r="AP82" s="596">
        <f t="shared" si="535"/>
        <v>0</v>
      </c>
      <c r="AQ82" s="596">
        <f t="shared" si="536"/>
        <v>0</v>
      </c>
      <c r="AR82" s="596">
        <f t="shared" si="537"/>
        <v>0</v>
      </c>
      <c r="AS82" s="596">
        <f t="shared" si="538"/>
        <v>0</v>
      </c>
      <c r="AT82" s="596">
        <f t="shared" si="539"/>
        <v>0</v>
      </c>
      <c r="AU82" s="596">
        <f t="shared" si="540"/>
        <v>0</v>
      </c>
      <c r="AV82" s="596">
        <f t="shared" si="541"/>
        <v>0</v>
      </c>
      <c r="AW82" s="596">
        <f t="shared" si="673"/>
        <v>0</v>
      </c>
      <c r="AX82" s="596">
        <f t="shared" si="673"/>
        <v>0</v>
      </c>
      <c r="AY82" s="596">
        <f t="shared" si="673"/>
        <v>0</v>
      </c>
      <c r="AZ82" s="596">
        <f t="shared" si="545"/>
        <v>0</v>
      </c>
      <c r="BA82" s="596">
        <f t="shared" si="546"/>
        <v>0</v>
      </c>
      <c r="BB82" s="596">
        <f t="shared" si="547"/>
        <v>0</v>
      </c>
      <c r="BC82" s="596">
        <f t="shared" si="548"/>
        <v>0</v>
      </c>
      <c r="BD82" s="596">
        <f t="shared" si="549"/>
        <v>0</v>
      </c>
      <c r="BE82" s="596">
        <f t="shared" si="550"/>
        <v>0</v>
      </c>
      <c r="BF82" s="596">
        <f t="shared" si="551"/>
        <v>0</v>
      </c>
      <c r="BG82" s="596">
        <f t="shared" si="552"/>
        <v>0</v>
      </c>
      <c r="BH82" s="603">
        <f t="shared" si="553"/>
        <v>0</v>
      </c>
      <c r="BI82" s="596">
        <f t="shared" si="554"/>
        <v>0</v>
      </c>
      <c r="BJ82" s="596">
        <f t="shared" si="555"/>
        <v>0</v>
      </c>
      <c r="BK82" s="596">
        <f t="shared" si="556"/>
        <v>0</v>
      </c>
      <c r="BL82" s="596">
        <f t="shared" si="557"/>
        <v>0</v>
      </c>
      <c r="BM82" s="596">
        <f t="shared" si="557"/>
        <v>0</v>
      </c>
      <c r="BN82" s="596">
        <f t="shared" si="558"/>
        <v>0</v>
      </c>
      <c r="BO82" s="596">
        <f t="shared" si="559"/>
        <v>0</v>
      </c>
      <c r="BP82" s="596">
        <f t="shared" si="560"/>
        <v>0</v>
      </c>
      <c r="BQ82" s="596">
        <f t="shared" si="561"/>
        <v>0</v>
      </c>
      <c r="BR82" s="596">
        <f t="shared" si="562"/>
        <v>0</v>
      </c>
      <c r="BS82" s="596">
        <f t="shared" si="563"/>
        <v>0</v>
      </c>
      <c r="BT82" s="596">
        <f t="shared" si="564"/>
        <v>0</v>
      </c>
      <c r="BU82" s="596">
        <f t="shared" si="565"/>
        <v>0</v>
      </c>
      <c r="BV82" s="596">
        <f t="shared" si="566"/>
        <v>0</v>
      </c>
      <c r="BW82" s="596">
        <f t="shared" si="567"/>
        <v>0</v>
      </c>
      <c r="BX82" s="596">
        <f t="shared" si="568"/>
        <v>0</v>
      </c>
      <c r="BY82" s="596">
        <f t="shared" si="569"/>
        <v>0</v>
      </c>
      <c r="BZ82" s="596">
        <f t="shared" si="570"/>
        <v>0</v>
      </c>
      <c r="CA82" s="596">
        <f t="shared" si="571"/>
        <v>0</v>
      </c>
      <c r="CB82" s="596">
        <f t="shared" si="572"/>
        <v>0</v>
      </c>
      <c r="CC82" s="596">
        <f t="shared" si="573"/>
        <v>0</v>
      </c>
      <c r="CD82" s="596">
        <f t="shared" si="574"/>
        <v>0</v>
      </c>
      <c r="CE82" s="596">
        <f t="shared" si="575"/>
        <v>0</v>
      </c>
      <c r="CF82" s="596">
        <f t="shared" si="576"/>
        <v>0</v>
      </c>
      <c r="CG82" s="602">
        <f t="shared" si="577"/>
        <v>0</v>
      </c>
      <c r="CH82" s="596">
        <f>$I82*$K82*M82</f>
        <v>0</v>
      </c>
      <c r="CI82" s="596">
        <f t="shared" si="675"/>
        <v>0</v>
      </c>
      <c r="CJ82" s="596">
        <f t="shared" si="676"/>
        <v>0</v>
      </c>
      <c r="CK82" s="596">
        <f t="shared" si="676"/>
        <v>0</v>
      </c>
      <c r="CL82" s="596">
        <f t="shared" si="677"/>
        <v>0</v>
      </c>
      <c r="CM82" s="596">
        <f t="shared" si="678"/>
        <v>0</v>
      </c>
      <c r="CN82" s="596">
        <f t="shared" si="679"/>
        <v>0</v>
      </c>
      <c r="CO82" s="596">
        <f t="shared" si="680"/>
        <v>0</v>
      </c>
      <c r="CP82" s="596">
        <f t="shared" si="681"/>
        <v>0</v>
      </c>
      <c r="CQ82" s="596">
        <f t="shared" si="682"/>
        <v>0</v>
      </c>
      <c r="CR82" s="596">
        <f t="shared" si="683"/>
        <v>0</v>
      </c>
      <c r="CS82" s="596">
        <f t="shared" si="684"/>
        <v>0</v>
      </c>
      <c r="CT82" s="596">
        <f t="shared" si="685"/>
        <v>0</v>
      </c>
      <c r="CU82" s="596">
        <f t="shared" si="686"/>
        <v>0</v>
      </c>
      <c r="CV82" s="596">
        <f t="shared" si="687"/>
        <v>0</v>
      </c>
      <c r="CW82" s="596">
        <f t="shared" si="688"/>
        <v>0</v>
      </c>
      <c r="CX82" s="596">
        <f t="shared" si="689"/>
        <v>0</v>
      </c>
      <c r="CY82" s="596">
        <f t="shared" si="690"/>
        <v>0</v>
      </c>
      <c r="CZ82" s="596">
        <f t="shared" si="691"/>
        <v>0</v>
      </c>
      <c r="DA82" s="596">
        <f t="shared" si="692"/>
        <v>0</v>
      </c>
      <c r="DB82" s="596">
        <f t="shared" si="693"/>
        <v>0</v>
      </c>
      <c r="DC82" s="596">
        <f t="shared" si="694"/>
        <v>0</v>
      </c>
      <c r="DD82" s="596">
        <f t="shared" si="695"/>
        <v>0</v>
      </c>
      <c r="DE82" s="602">
        <f t="shared" si="696"/>
        <v>0</v>
      </c>
      <c r="DF82" s="596"/>
      <c r="DG82" s="596">
        <f t="shared" si="697"/>
        <v>0</v>
      </c>
      <c r="DH82" s="596">
        <f t="shared" si="698"/>
        <v>0</v>
      </c>
      <c r="DI82" s="596">
        <f t="shared" si="698"/>
        <v>0</v>
      </c>
      <c r="DJ82" s="596">
        <f t="shared" si="699"/>
        <v>0</v>
      </c>
      <c r="DK82" s="596">
        <f t="shared" si="700"/>
        <v>0</v>
      </c>
      <c r="DL82" s="596">
        <f t="shared" si="701"/>
        <v>0</v>
      </c>
      <c r="DM82" s="596">
        <f t="shared" si="702"/>
        <v>0</v>
      </c>
      <c r="DN82" s="596">
        <f t="shared" si="703"/>
        <v>0</v>
      </c>
      <c r="DO82" s="596">
        <f t="shared" si="704"/>
        <v>0</v>
      </c>
      <c r="DP82" s="596">
        <f t="shared" si="705"/>
        <v>0</v>
      </c>
      <c r="DQ82" s="596">
        <f t="shared" si="706"/>
        <v>0</v>
      </c>
      <c r="DR82" s="596">
        <f t="shared" si="707"/>
        <v>0</v>
      </c>
      <c r="DS82" s="596">
        <f t="shared" si="708"/>
        <v>0</v>
      </c>
      <c r="DT82" s="596">
        <f t="shared" si="709"/>
        <v>0</v>
      </c>
      <c r="DU82" s="596">
        <f t="shared" si="710"/>
        <v>0</v>
      </c>
      <c r="DV82" s="596">
        <f t="shared" si="711"/>
        <v>0</v>
      </c>
      <c r="DW82" s="596">
        <f t="shared" si="712"/>
        <v>0</v>
      </c>
      <c r="DX82" s="596">
        <f t="shared" si="713"/>
        <v>0</v>
      </c>
      <c r="DY82" s="596">
        <f t="shared" si="714"/>
        <v>0</v>
      </c>
      <c r="DZ82" s="596">
        <f t="shared" si="715"/>
        <v>0</v>
      </c>
      <c r="EA82" s="596">
        <f t="shared" si="716"/>
        <v>0</v>
      </c>
      <c r="EB82" s="603">
        <f t="shared" si="717"/>
        <v>0</v>
      </c>
    </row>
    <row r="83" spans="1:132" s="594" customFormat="1" ht="13.8" thickBot="1" x14ac:dyDescent="0.3">
      <c r="B83" s="594" t="s">
        <v>893</v>
      </c>
      <c r="C83" s="613">
        <v>70</v>
      </c>
      <c r="D83" s="594" t="s">
        <v>246</v>
      </c>
      <c r="E83" s="596">
        <v>2020</v>
      </c>
      <c r="F83" s="596">
        <v>200</v>
      </c>
      <c r="G83" s="611" t="s">
        <v>31</v>
      </c>
      <c r="H83" s="612">
        <v>5</v>
      </c>
      <c r="I83" s="594">
        <f t="shared" si="718"/>
        <v>14000</v>
      </c>
      <c r="J83" s="597">
        <v>0</v>
      </c>
      <c r="K83" s="598">
        <v>0.05</v>
      </c>
      <c r="L83"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83" s="600">
        <v>0</v>
      </c>
      <c r="N83"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83"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83"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83"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83"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83"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83"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83"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83"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83"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83"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83"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83"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83"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83"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83"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83" s="600">
        <v>0</v>
      </c>
      <c r="AE83" s="600">
        <v>0</v>
      </c>
      <c r="AF83" s="600">
        <v>0</v>
      </c>
      <c r="AG83" s="600">
        <v>0</v>
      </c>
      <c r="AH83" s="600">
        <v>0</v>
      </c>
      <c r="AI83" s="600">
        <v>0</v>
      </c>
      <c r="AJ83" s="604">
        <f>+SUM(L83:AI83)</f>
        <v>1</v>
      </c>
      <c r="AK83" s="602"/>
      <c r="AL83" s="596"/>
      <c r="AM83" s="596"/>
      <c r="AN83" s="596"/>
      <c r="AO83" s="596"/>
      <c r="AP83" s="596"/>
      <c r="AQ83" s="596"/>
      <c r="AR83" s="596"/>
      <c r="AS83" s="596"/>
      <c r="AT83" s="596"/>
      <c r="AU83" s="596"/>
      <c r="AV83" s="596"/>
      <c r="AW83" s="596"/>
      <c r="AX83" s="596"/>
      <c r="AY83" s="596"/>
      <c r="AZ83" s="596"/>
      <c r="BA83" s="596"/>
      <c r="BB83" s="596"/>
      <c r="BC83" s="596"/>
      <c r="BD83" s="596"/>
      <c r="BE83" s="596"/>
      <c r="BF83" s="596"/>
      <c r="BG83" s="596"/>
      <c r="BH83" s="603"/>
      <c r="BI83" s="596"/>
      <c r="BJ83" s="596"/>
      <c r="BK83" s="596"/>
      <c r="BL83" s="596"/>
      <c r="BM83" s="596"/>
      <c r="BN83" s="596"/>
      <c r="BO83" s="596"/>
      <c r="BP83" s="596"/>
      <c r="BQ83" s="596"/>
      <c r="BR83" s="596"/>
      <c r="BS83" s="596"/>
      <c r="BT83" s="596"/>
      <c r="BU83" s="596"/>
      <c r="BV83" s="596"/>
      <c r="BW83" s="596"/>
      <c r="BX83" s="596"/>
      <c r="BY83" s="596"/>
      <c r="BZ83" s="596"/>
      <c r="CA83" s="596"/>
      <c r="CB83" s="596"/>
      <c r="CC83" s="596"/>
      <c r="CD83" s="596"/>
      <c r="CE83" s="596"/>
      <c r="CF83" s="596"/>
      <c r="CG83" s="602"/>
      <c r="CH83" s="596"/>
      <c r="CI83" s="596"/>
      <c r="CJ83" s="596"/>
      <c r="CK83" s="596"/>
      <c r="CL83" s="596"/>
      <c r="CM83" s="596"/>
      <c r="CN83" s="596"/>
      <c r="CO83" s="596"/>
      <c r="CP83" s="596"/>
      <c r="CQ83" s="596"/>
      <c r="CR83" s="596"/>
      <c r="CS83" s="596"/>
      <c r="CT83" s="596"/>
      <c r="CU83" s="596"/>
      <c r="CV83" s="596"/>
      <c r="CW83" s="596"/>
      <c r="CX83" s="596"/>
      <c r="CY83" s="596"/>
      <c r="CZ83" s="596"/>
      <c r="DA83" s="596"/>
      <c r="DB83" s="596"/>
      <c r="DC83" s="596"/>
      <c r="DD83" s="596"/>
      <c r="DE83" s="602"/>
      <c r="DF83" s="596"/>
      <c r="DG83" s="596"/>
      <c r="DH83" s="596"/>
      <c r="DI83" s="596"/>
      <c r="DJ83" s="596"/>
      <c r="DK83" s="596"/>
      <c r="DL83" s="596"/>
      <c r="DM83" s="596"/>
      <c r="DN83" s="596"/>
      <c r="DO83" s="596"/>
      <c r="DP83" s="596"/>
      <c r="DQ83" s="596"/>
      <c r="DR83" s="596"/>
      <c r="DS83" s="596"/>
      <c r="DT83" s="596"/>
      <c r="DU83" s="596"/>
      <c r="DV83" s="596"/>
      <c r="DW83" s="596"/>
      <c r="DX83" s="596"/>
      <c r="DY83" s="596"/>
      <c r="DZ83" s="596"/>
      <c r="EA83" s="596"/>
      <c r="EB83" s="603"/>
    </row>
    <row r="84" spans="1:132" s="669" customFormat="1" ht="13.8" thickBot="1" x14ac:dyDescent="0.3">
      <c r="B84" s="669" t="s">
        <v>894</v>
      </c>
      <c r="C84" s="677">
        <f>'Gårdens info'!D135</f>
        <v>70</v>
      </c>
      <c r="D84" s="669" t="s">
        <v>246</v>
      </c>
      <c r="E84" s="670">
        <f>'Gårdens info'!J135</f>
        <v>2020</v>
      </c>
      <c r="F84" s="670">
        <f>'Gårdens info'!G135</f>
        <v>200</v>
      </c>
      <c r="G84" s="678" t="s">
        <v>31</v>
      </c>
      <c r="H84" s="679">
        <v>10</v>
      </c>
      <c r="I84" s="669">
        <f t="shared" si="718"/>
        <v>14000</v>
      </c>
      <c r="J84" s="671">
        <v>0</v>
      </c>
      <c r="K84" s="672">
        <v>0.03</v>
      </c>
      <c r="L84" s="673">
        <v>0</v>
      </c>
      <c r="M84" s="673">
        <f>IF('Gårdens info'!$D$9&gt;0,('Gårdens info'!$D$9/('Gårdens info'!$D$9)),0)</f>
        <v>1</v>
      </c>
      <c r="N84" s="673">
        <v>0</v>
      </c>
      <c r="O84" s="673">
        <v>0</v>
      </c>
      <c r="P84" s="673">
        <v>0</v>
      </c>
      <c r="Q84" s="673">
        <v>0</v>
      </c>
      <c r="R84" s="673">
        <v>0</v>
      </c>
      <c r="S84" s="673">
        <v>0</v>
      </c>
      <c r="T84" s="673">
        <v>0</v>
      </c>
      <c r="U84" s="673">
        <v>0</v>
      </c>
      <c r="V84" s="673">
        <v>0</v>
      </c>
      <c r="W84" s="673">
        <v>0</v>
      </c>
      <c r="X84" s="673">
        <v>0</v>
      </c>
      <c r="Y84" s="673">
        <v>0</v>
      </c>
      <c r="Z84" s="673">
        <v>0</v>
      </c>
      <c r="AA84" s="673">
        <v>0</v>
      </c>
      <c r="AB84" s="673">
        <v>0</v>
      </c>
      <c r="AC84" s="673">
        <v>0</v>
      </c>
      <c r="AD84" s="673">
        <v>0</v>
      </c>
      <c r="AE84" s="673">
        <v>0</v>
      </c>
      <c r="AF84" s="673">
        <v>0</v>
      </c>
      <c r="AG84" s="673">
        <v>0</v>
      </c>
      <c r="AH84" s="673">
        <v>0</v>
      </c>
      <c r="AI84" s="673">
        <v>0</v>
      </c>
      <c r="AJ84" s="674">
        <f t="shared" si="530"/>
        <v>1</v>
      </c>
      <c r="AK84" s="675">
        <f t="shared" si="531"/>
        <v>0</v>
      </c>
      <c r="AL84" s="670">
        <f t="shared" ref="AL84:AL89" si="719">IF((($C$7-$E84)&lt;=$H84),(($I84-$J84)/$H84*M84),0)</f>
        <v>1400</v>
      </c>
      <c r="AM84" s="670">
        <f t="shared" si="674"/>
        <v>0</v>
      </c>
      <c r="AN84" s="670">
        <f t="shared" si="534"/>
        <v>0</v>
      </c>
      <c r="AO84" s="670">
        <f t="shared" si="534"/>
        <v>0</v>
      </c>
      <c r="AP84" s="670">
        <f t="shared" si="535"/>
        <v>0</v>
      </c>
      <c r="AQ84" s="670">
        <f t="shared" si="536"/>
        <v>0</v>
      </c>
      <c r="AR84" s="670">
        <f t="shared" si="537"/>
        <v>0</v>
      </c>
      <c r="AS84" s="670">
        <f t="shared" si="538"/>
        <v>0</v>
      </c>
      <c r="AT84" s="670">
        <f t="shared" si="539"/>
        <v>0</v>
      </c>
      <c r="AU84" s="670">
        <f t="shared" si="540"/>
        <v>0</v>
      </c>
      <c r="AV84" s="670">
        <f t="shared" si="541"/>
        <v>0</v>
      </c>
      <c r="AW84" s="670">
        <f t="shared" ref="AW84:AY89" si="720">IF((($C$7-$E84)&lt;=$H84),(($I84-$J84)/$H84*X84),0)</f>
        <v>0</v>
      </c>
      <c r="AX84" s="670">
        <f t="shared" si="720"/>
        <v>0</v>
      </c>
      <c r="AY84" s="670">
        <f t="shared" si="720"/>
        <v>0</v>
      </c>
      <c r="AZ84" s="670">
        <f t="shared" si="545"/>
        <v>0</v>
      </c>
      <c r="BA84" s="670">
        <f t="shared" si="546"/>
        <v>0</v>
      </c>
      <c r="BB84" s="670">
        <f t="shared" si="547"/>
        <v>0</v>
      </c>
      <c r="BC84" s="670">
        <f t="shared" si="548"/>
        <v>0</v>
      </c>
      <c r="BD84" s="670">
        <f t="shared" si="549"/>
        <v>0</v>
      </c>
      <c r="BE84" s="670">
        <f t="shared" si="550"/>
        <v>0</v>
      </c>
      <c r="BF84" s="670">
        <f t="shared" si="551"/>
        <v>0</v>
      </c>
      <c r="BG84" s="670">
        <f t="shared" si="552"/>
        <v>0</v>
      </c>
      <c r="BH84" s="680">
        <f t="shared" si="553"/>
        <v>0</v>
      </c>
      <c r="BI84" s="670">
        <f t="shared" ref="BI84:BJ86" si="721">IF(($C$7-$E84&lt;=$H84),(($I84+$J84)/2*$C$8*L84),0)</f>
        <v>0</v>
      </c>
      <c r="BJ84" s="670">
        <f t="shared" si="721"/>
        <v>350</v>
      </c>
      <c r="BK84" s="670">
        <f t="shared" ref="BK84:BK85" si="722">IF(($C$7-$E84&lt;=$H84),(($I84+$J84)/2*$C$8*N84),0)</f>
        <v>0</v>
      </c>
      <c r="BL84" s="670">
        <f t="shared" ref="BL84:BM85" si="723">IF(($C$7-$E84&lt;=$H84),(($I84+$J84)/2*$C$8*O84),0)</f>
        <v>0</v>
      </c>
      <c r="BM84" s="670">
        <f t="shared" si="723"/>
        <v>0</v>
      </c>
      <c r="BN84" s="670">
        <f t="shared" ref="BN84:BN85" si="724">IF(($C$7-$E84&lt;=$H84),(($I84+$J84)/2*$C$8*Q84),0)</f>
        <v>0</v>
      </c>
      <c r="BO84" s="670">
        <f t="shared" ref="BO84:BO85" si="725">IF(($C$7-$E84&lt;=$H84),(($I84+$J84)/2*$C$8*R84),0)</f>
        <v>0</v>
      </c>
      <c r="BP84" s="670">
        <f t="shared" ref="BP84:BP85" si="726">IF(($C$7-$E84&lt;=$H84),(($I84+$J84)/2*$C$8*S84),0)</f>
        <v>0</v>
      </c>
      <c r="BQ84" s="670">
        <f t="shared" ref="BQ84:BQ85" si="727">IF(($C$7-$E84&lt;=$H84),(($I84+$J84)/2*$C$8*T84),0)</f>
        <v>0</v>
      </c>
      <c r="BR84" s="670">
        <f t="shared" ref="BR84:BR85" si="728">IF(($C$7-$E84&lt;=$H84),(($I84+$J84)/2*$C$8*U84),0)</f>
        <v>0</v>
      </c>
      <c r="BS84" s="670">
        <f t="shared" ref="BS84:BS85" si="729">IF(($C$7-$E84&lt;=$H84),(($I84+$J84)/2*$C$8*V84),0)</f>
        <v>0</v>
      </c>
      <c r="BT84" s="670">
        <f t="shared" ref="BT84:BT85" si="730">IF(($C$7-$E84&lt;=$H84),(($I84+$J84)/2*$C$8*W84),0)</f>
        <v>0</v>
      </c>
      <c r="BU84" s="670">
        <f t="shared" ref="BU84:BU85" si="731">IF(($C$7-$E84&lt;=$H84),(($I84+$J84)/2*$C$8*X84),0)</f>
        <v>0</v>
      </c>
      <c r="BV84" s="670">
        <f t="shared" ref="BV84:BV85" si="732">IF(($C$7-$E84&lt;=$H84),(($I84+$J84)/2*$C$8*Y84),0)</f>
        <v>0</v>
      </c>
      <c r="BW84" s="670">
        <f t="shared" ref="BW84:BW85" si="733">IF(($C$7-$E84&lt;=$H84),(($I84+$J84)/2*$C$8*Z84),0)</f>
        <v>0</v>
      </c>
      <c r="BX84" s="670">
        <f t="shared" ref="BX84:BX85" si="734">IF(($C$7-$E84&lt;=$H84),(($I84+$J84)/2*$C$8*AA84),0)</f>
        <v>0</v>
      </c>
      <c r="BY84" s="670">
        <f t="shared" ref="BY84:BY85" si="735">IF(($C$7-$E84&lt;=$H84),(($I84+$J84)/2*$C$8*AB84),0)</f>
        <v>0</v>
      </c>
      <c r="BZ84" s="670">
        <f t="shared" ref="BZ84:BZ85" si="736">IF(($C$7-$E84&lt;=$H84),(($I84+$J84)/2*$C$8*AC84),0)</f>
        <v>0</v>
      </c>
      <c r="CA84" s="670">
        <f t="shared" ref="CA84:CA85" si="737">IF(($C$7-$E84&lt;=$H84),(($I84+$J84)/2*$C$8*AD84),0)</f>
        <v>0</v>
      </c>
      <c r="CB84" s="670">
        <f t="shared" ref="CB84:CB85" si="738">IF(($C$7-$E84&lt;=$H84),(($I84+$J84)/2*$C$8*AE84),0)</f>
        <v>0</v>
      </c>
      <c r="CC84" s="670">
        <f t="shared" ref="CC84:CC85" si="739">IF(($C$7-$E84&lt;=$H84),(($I84+$J84)/2*$C$8*AF84),0)</f>
        <v>0</v>
      </c>
      <c r="CD84" s="670">
        <f t="shared" ref="CD84:CD85" si="740">IF(($C$7-$E84&lt;=$H84),(($I84+$J84)/2*$C$8*AG84),0)</f>
        <v>0</v>
      </c>
      <c r="CE84" s="670">
        <f t="shared" ref="CE84:CE85" si="741">IF(($C$7-$E84&lt;=$H84),(($I84+$J84)/2*$C$8*AH84),0)</f>
        <v>0</v>
      </c>
      <c r="CF84" s="670">
        <f t="shared" ref="CF84:CF85" si="742">IF(($C$7-$E84&lt;=$H84),(($I84+$J84)/2*$C$8*AI84),0)</f>
        <v>0</v>
      </c>
      <c r="CG84" s="675">
        <f t="shared" si="577"/>
        <v>0</v>
      </c>
      <c r="CH84" s="670">
        <f t="shared" ref="CH84:CH89" si="743">$I84*$K84*M84</f>
        <v>420</v>
      </c>
      <c r="CI84" s="670">
        <f t="shared" si="675"/>
        <v>0</v>
      </c>
      <c r="CJ84" s="670">
        <f t="shared" si="676"/>
        <v>0</v>
      </c>
      <c r="CK84" s="670">
        <f t="shared" si="676"/>
        <v>0</v>
      </c>
      <c r="CL84" s="670">
        <f t="shared" si="677"/>
        <v>0</v>
      </c>
      <c r="CM84" s="670">
        <f t="shared" si="678"/>
        <v>0</v>
      </c>
      <c r="CN84" s="670">
        <f t="shared" si="679"/>
        <v>0</v>
      </c>
      <c r="CO84" s="670">
        <f t="shared" si="680"/>
        <v>0</v>
      </c>
      <c r="CP84" s="670">
        <f t="shared" si="681"/>
        <v>0</v>
      </c>
      <c r="CQ84" s="670">
        <f t="shared" si="682"/>
        <v>0</v>
      </c>
      <c r="CR84" s="670">
        <f t="shared" si="683"/>
        <v>0</v>
      </c>
      <c r="CS84" s="670">
        <f t="shared" si="684"/>
        <v>0</v>
      </c>
      <c r="CT84" s="670">
        <f t="shared" si="685"/>
        <v>0</v>
      </c>
      <c r="CU84" s="670">
        <f t="shared" si="686"/>
        <v>0</v>
      </c>
      <c r="CV84" s="670">
        <f t="shared" si="687"/>
        <v>0</v>
      </c>
      <c r="CW84" s="670">
        <f t="shared" si="688"/>
        <v>0</v>
      </c>
      <c r="CX84" s="670">
        <f t="shared" si="689"/>
        <v>0</v>
      </c>
      <c r="CY84" s="670">
        <f t="shared" si="690"/>
        <v>0</v>
      </c>
      <c r="CZ84" s="670">
        <f t="shared" si="691"/>
        <v>0</v>
      </c>
      <c r="DA84" s="670">
        <f t="shared" si="692"/>
        <v>0</v>
      </c>
      <c r="DB84" s="670">
        <f t="shared" si="693"/>
        <v>0</v>
      </c>
      <c r="DC84" s="670">
        <f t="shared" si="694"/>
        <v>0</v>
      </c>
      <c r="DD84" s="670">
        <f t="shared" si="695"/>
        <v>0</v>
      </c>
      <c r="DE84" s="675">
        <f t="shared" si="696"/>
        <v>0</v>
      </c>
      <c r="DF84" s="670"/>
      <c r="DG84" s="670">
        <f t="shared" si="697"/>
        <v>0</v>
      </c>
      <c r="DH84" s="670">
        <f t="shared" si="698"/>
        <v>0</v>
      </c>
      <c r="DI84" s="670">
        <f t="shared" si="698"/>
        <v>0</v>
      </c>
      <c r="DJ84" s="670">
        <f t="shared" si="699"/>
        <v>0</v>
      </c>
      <c r="DK84" s="670">
        <f t="shared" si="700"/>
        <v>0</v>
      </c>
      <c r="DL84" s="670">
        <f t="shared" si="701"/>
        <v>0</v>
      </c>
      <c r="DM84" s="670">
        <f t="shared" si="702"/>
        <v>0</v>
      </c>
      <c r="DN84" s="670">
        <f t="shared" si="703"/>
        <v>0</v>
      </c>
      <c r="DO84" s="670">
        <f t="shared" si="704"/>
        <v>0</v>
      </c>
      <c r="DP84" s="670">
        <f t="shared" si="705"/>
        <v>0</v>
      </c>
      <c r="DQ84" s="670">
        <f t="shared" si="706"/>
        <v>0</v>
      </c>
      <c r="DR84" s="670">
        <f t="shared" si="707"/>
        <v>0</v>
      </c>
      <c r="DS84" s="670">
        <f t="shared" si="708"/>
        <v>0</v>
      </c>
      <c r="DT84" s="670">
        <f t="shared" si="709"/>
        <v>0</v>
      </c>
      <c r="DU84" s="670">
        <f t="shared" si="710"/>
        <v>0</v>
      </c>
      <c r="DV84" s="670">
        <f t="shared" si="711"/>
        <v>0</v>
      </c>
      <c r="DW84" s="670">
        <f t="shared" si="712"/>
        <v>0</v>
      </c>
      <c r="DX84" s="670">
        <f t="shared" si="713"/>
        <v>0</v>
      </c>
      <c r="DY84" s="670">
        <f t="shared" si="714"/>
        <v>0</v>
      </c>
      <c r="DZ84" s="670">
        <f t="shared" si="715"/>
        <v>0</v>
      </c>
      <c r="EA84" s="670">
        <f t="shared" si="716"/>
        <v>0</v>
      </c>
      <c r="EB84" s="680">
        <f t="shared" si="717"/>
        <v>0</v>
      </c>
    </row>
    <row r="85" spans="1:132" s="669" customFormat="1" ht="13.8" thickBot="1" x14ac:dyDescent="0.3">
      <c r="B85" s="669" t="s">
        <v>895</v>
      </c>
      <c r="C85" s="677">
        <f>'Gårdens info'!D136</f>
        <v>350</v>
      </c>
      <c r="D85" s="669" t="s">
        <v>246</v>
      </c>
      <c r="E85" s="670">
        <f>'Gårdens info'!J136</f>
        <v>2020</v>
      </c>
      <c r="F85" s="670">
        <f>'Gårdens info'!G136</f>
        <v>1</v>
      </c>
      <c r="G85" s="678" t="s">
        <v>31</v>
      </c>
      <c r="H85" s="679">
        <v>10</v>
      </c>
      <c r="I85" s="669">
        <f t="shared" si="718"/>
        <v>350</v>
      </c>
      <c r="J85" s="671">
        <v>0</v>
      </c>
      <c r="K85" s="672">
        <v>0.05</v>
      </c>
      <c r="L85" s="673">
        <v>0</v>
      </c>
      <c r="M85" s="673">
        <f>IF('Gårdens info'!$D$9&gt;0,('Gårdens info'!$D$9/('Gårdens info'!$D$9)),0)</f>
        <v>1</v>
      </c>
      <c r="N85" s="673">
        <v>0</v>
      </c>
      <c r="O85" s="673">
        <v>0</v>
      </c>
      <c r="P85" s="673">
        <v>0</v>
      </c>
      <c r="Q85" s="673">
        <v>0</v>
      </c>
      <c r="R85" s="673">
        <v>0</v>
      </c>
      <c r="S85" s="673">
        <v>0</v>
      </c>
      <c r="T85" s="673">
        <v>0</v>
      </c>
      <c r="U85" s="673">
        <v>0</v>
      </c>
      <c r="V85" s="673">
        <v>0</v>
      </c>
      <c r="W85" s="673">
        <v>0</v>
      </c>
      <c r="X85" s="673">
        <v>0</v>
      </c>
      <c r="Y85" s="673">
        <v>0</v>
      </c>
      <c r="Z85" s="673">
        <v>0</v>
      </c>
      <c r="AA85" s="673">
        <v>0</v>
      </c>
      <c r="AB85" s="673">
        <v>0</v>
      </c>
      <c r="AC85" s="673">
        <v>0</v>
      </c>
      <c r="AD85" s="673">
        <v>0</v>
      </c>
      <c r="AE85" s="673">
        <v>0</v>
      </c>
      <c r="AF85" s="673">
        <v>0</v>
      </c>
      <c r="AG85" s="673">
        <v>0</v>
      </c>
      <c r="AH85" s="673">
        <v>0</v>
      </c>
      <c r="AI85" s="673">
        <v>0</v>
      </c>
      <c r="AJ85" s="674">
        <f t="shared" si="530"/>
        <v>1</v>
      </c>
      <c r="AK85" s="675">
        <f>IF((($C$7-$E85)&lt;=$H85),(($I85-$J85)/$H85*L85),0)</f>
        <v>0</v>
      </c>
      <c r="AL85" s="670">
        <f t="shared" si="719"/>
        <v>35</v>
      </c>
      <c r="AM85" s="670">
        <f t="shared" si="674"/>
        <v>0</v>
      </c>
      <c r="AN85" s="670">
        <f t="shared" si="534"/>
        <v>0</v>
      </c>
      <c r="AO85" s="670">
        <f t="shared" si="534"/>
        <v>0</v>
      </c>
      <c r="AP85" s="670">
        <f t="shared" si="535"/>
        <v>0</v>
      </c>
      <c r="AQ85" s="670">
        <f t="shared" si="536"/>
        <v>0</v>
      </c>
      <c r="AR85" s="670">
        <f t="shared" si="537"/>
        <v>0</v>
      </c>
      <c r="AS85" s="670">
        <f t="shared" si="538"/>
        <v>0</v>
      </c>
      <c r="AT85" s="670">
        <f t="shared" si="539"/>
        <v>0</v>
      </c>
      <c r="AU85" s="670">
        <f t="shared" si="540"/>
        <v>0</v>
      </c>
      <c r="AV85" s="670">
        <f t="shared" si="541"/>
        <v>0</v>
      </c>
      <c r="AW85" s="670">
        <f t="shared" si="720"/>
        <v>0</v>
      </c>
      <c r="AX85" s="670">
        <f t="shared" si="720"/>
        <v>0</v>
      </c>
      <c r="AY85" s="670">
        <f t="shared" si="720"/>
        <v>0</v>
      </c>
      <c r="AZ85" s="670">
        <f t="shared" si="545"/>
        <v>0</v>
      </c>
      <c r="BA85" s="670">
        <f t="shared" si="546"/>
        <v>0</v>
      </c>
      <c r="BB85" s="670">
        <f t="shared" si="547"/>
        <v>0</v>
      </c>
      <c r="BC85" s="670">
        <f t="shared" si="548"/>
        <v>0</v>
      </c>
      <c r="BD85" s="670">
        <f t="shared" si="549"/>
        <v>0</v>
      </c>
      <c r="BE85" s="670">
        <f t="shared" si="550"/>
        <v>0</v>
      </c>
      <c r="BF85" s="670">
        <f t="shared" si="551"/>
        <v>0</v>
      </c>
      <c r="BG85" s="670">
        <f t="shared" si="552"/>
        <v>0</v>
      </c>
      <c r="BH85" s="680">
        <f t="shared" si="553"/>
        <v>0</v>
      </c>
      <c r="BI85" s="670">
        <f t="shared" si="721"/>
        <v>0</v>
      </c>
      <c r="BJ85" s="670">
        <f t="shared" si="721"/>
        <v>8.75</v>
      </c>
      <c r="BK85" s="670">
        <f t="shared" si="722"/>
        <v>0</v>
      </c>
      <c r="BL85" s="670">
        <f t="shared" si="723"/>
        <v>0</v>
      </c>
      <c r="BM85" s="670">
        <f t="shared" si="723"/>
        <v>0</v>
      </c>
      <c r="BN85" s="670">
        <f t="shared" si="724"/>
        <v>0</v>
      </c>
      <c r="BO85" s="670">
        <f t="shared" si="725"/>
        <v>0</v>
      </c>
      <c r="BP85" s="670">
        <f t="shared" si="726"/>
        <v>0</v>
      </c>
      <c r="BQ85" s="670">
        <f t="shared" si="727"/>
        <v>0</v>
      </c>
      <c r="BR85" s="670">
        <f t="shared" si="728"/>
        <v>0</v>
      </c>
      <c r="BS85" s="670">
        <f t="shared" si="729"/>
        <v>0</v>
      </c>
      <c r="BT85" s="670">
        <f t="shared" si="730"/>
        <v>0</v>
      </c>
      <c r="BU85" s="670">
        <f t="shared" si="731"/>
        <v>0</v>
      </c>
      <c r="BV85" s="670">
        <f t="shared" si="732"/>
        <v>0</v>
      </c>
      <c r="BW85" s="670">
        <f t="shared" si="733"/>
        <v>0</v>
      </c>
      <c r="BX85" s="670">
        <f t="shared" si="734"/>
        <v>0</v>
      </c>
      <c r="BY85" s="670">
        <f t="shared" si="735"/>
        <v>0</v>
      </c>
      <c r="BZ85" s="670">
        <f t="shared" si="736"/>
        <v>0</v>
      </c>
      <c r="CA85" s="670">
        <f t="shared" si="737"/>
        <v>0</v>
      </c>
      <c r="CB85" s="670">
        <f t="shared" si="738"/>
        <v>0</v>
      </c>
      <c r="CC85" s="670">
        <f t="shared" si="739"/>
        <v>0</v>
      </c>
      <c r="CD85" s="670">
        <f t="shared" si="740"/>
        <v>0</v>
      </c>
      <c r="CE85" s="670">
        <f t="shared" si="741"/>
        <v>0</v>
      </c>
      <c r="CF85" s="670">
        <f t="shared" si="742"/>
        <v>0</v>
      </c>
      <c r="CG85" s="675">
        <f t="shared" si="577"/>
        <v>0</v>
      </c>
      <c r="CH85" s="670">
        <f t="shared" si="743"/>
        <v>17.5</v>
      </c>
      <c r="CI85" s="670">
        <f t="shared" si="675"/>
        <v>0</v>
      </c>
      <c r="CJ85" s="670">
        <f t="shared" si="676"/>
        <v>0</v>
      </c>
      <c r="CK85" s="670">
        <f t="shared" si="676"/>
        <v>0</v>
      </c>
      <c r="CL85" s="670">
        <f t="shared" si="677"/>
        <v>0</v>
      </c>
      <c r="CM85" s="670">
        <f t="shared" si="678"/>
        <v>0</v>
      </c>
      <c r="CN85" s="670">
        <f t="shared" si="679"/>
        <v>0</v>
      </c>
      <c r="CO85" s="670">
        <f t="shared" si="680"/>
        <v>0</v>
      </c>
      <c r="CP85" s="670">
        <f t="shared" si="681"/>
        <v>0</v>
      </c>
      <c r="CQ85" s="670">
        <f t="shared" si="682"/>
        <v>0</v>
      </c>
      <c r="CR85" s="670">
        <f t="shared" si="683"/>
        <v>0</v>
      </c>
      <c r="CS85" s="670">
        <f t="shared" si="684"/>
        <v>0</v>
      </c>
      <c r="CT85" s="670">
        <f t="shared" si="685"/>
        <v>0</v>
      </c>
      <c r="CU85" s="670">
        <f t="shared" si="686"/>
        <v>0</v>
      </c>
      <c r="CV85" s="670">
        <f t="shared" si="687"/>
        <v>0</v>
      </c>
      <c r="CW85" s="670">
        <f t="shared" si="688"/>
        <v>0</v>
      </c>
      <c r="CX85" s="670">
        <f t="shared" si="689"/>
        <v>0</v>
      </c>
      <c r="CY85" s="670">
        <f t="shared" si="690"/>
        <v>0</v>
      </c>
      <c r="CZ85" s="670">
        <f t="shared" si="691"/>
        <v>0</v>
      </c>
      <c r="DA85" s="670">
        <f t="shared" si="692"/>
        <v>0</v>
      </c>
      <c r="DB85" s="670">
        <f t="shared" si="693"/>
        <v>0</v>
      </c>
      <c r="DC85" s="670">
        <f t="shared" si="694"/>
        <v>0</v>
      </c>
      <c r="DD85" s="670">
        <f t="shared" si="695"/>
        <v>0</v>
      </c>
      <c r="DE85" s="675">
        <f t="shared" si="696"/>
        <v>0</v>
      </c>
      <c r="DF85" s="670"/>
      <c r="DG85" s="670">
        <f t="shared" si="697"/>
        <v>0</v>
      </c>
      <c r="DH85" s="670">
        <f t="shared" si="698"/>
        <v>0</v>
      </c>
      <c r="DI85" s="670">
        <f t="shared" si="698"/>
        <v>0</v>
      </c>
      <c r="DJ85" s="670">
        <f t="shared" si="699"/>
        <v>0</v>
      </c>
      <c r="DK85" s="670">
        <f t="shared" si="700"/>
        <v>0</v>
      </c>
      <c r="DL85" s="670">
        <f t="shared" si="701"/>
        <v>0</v>
      </c>
      <c r="DM85" s="670">
        <f t="shared" si="702"/>
        <v>0</v>
      </c>
      <c r="DN85" s="670">
        <f t="shared" si="703"/>
        <v>0</v>
      </c>
      <c r="DO85" s="670">
        <f t="shared" si="704"/>
        <v>0</v>
      </c>
      <c r="DP85" s="670">
        <f t="shared" si="705"/>
        <v>0</v>
      </c>
      <c r="DQ85" s="670">
        <f t="shared" si="706"/>
        <v>0</v>
      </c>
      <c r="DR85" s="670">
        <f t="shared" si="707"/>
        <v>0</v>
      </c>
      <c r="DS85" s="670">
        <f t="shared" si="708"/>
        <v>0</v>
      </c>
      <c r="DT85" s="670">
        <f t="shared" si="709"/>
        <v>0</v>
      </c>
      <c r="DU85" s="670">
        <f t="shared" si="710"/>
        <v>0</v>
      </c>
      <c r="DV85" s="670">
        <f t="shared" si="711"/>
        <v>0</v>
      </c>
      <c r="DW85" s="670">
        <f t="shared" si="712"/>
        <v>0</v>
      </c>
      <c r="DX85" s="670">
        <f t="shared" si="713"/>
        <v>0</v>
      </c>
      <c r="DY85" s="670">
        <f t="shared" si="714"/>
        <v>0</v>
      </c>
      <c r="DZ85" s="670">
        <f t="shared" si="715"/>
        <v>0</v>
      </c>
      <c r="EA85" s="670">
        <f t="shared" si="716"/>
        <v>0</v>
      </c>
      <c r="EB85" s="680">
        <f t="shared" si="717"/>
        <v>0</v>
      </c>
    </row>
    <row r="86" spans="1:132" s="893" customFormat="1" ht="13.8" thickBot="1" x14ac:dyDescent="0.3">
      <c r="B86" s="893" t="s">
        <v>896</v>
      </c>
      <c r="C86" s="894">
        <v>1.7</v>
      </c>
      <c r="D86" s="893" t="s">
        <v>134</v>
      </c>
      <c r="E86" s="895">
        <v>2025</v>
      </c>
      <c r="F86" s="895">
        <v>1</v>
      </c>
      <c r="G86" s="896" t="s">
        <v>7</v>
      </c>
      <c r="H86" s="897">
        <v>3</v>
      </c>
      <c r="I86" s="893">
        <f>C86*10000*0.8</f>
        <v>13600</v>
      </c>
      <c r="J86" s="898">
        <v>0</v>
      </c>
      <c r="K86" s="899">
        <v>0.05</v>
      </c>
      <c r="L86" s="900">
        <v>0</v>
      </c>
      <c r="M86" s="900">
        <v>0</v>
      </c>
      <c r="N86" s="900">
        <v>1</v>
      </c>
      <c r="O86" s="900">
        <v>0</v>
      </c>
      <c r="P86" s="900">
        <v>0</v>
      </c>
      <c r="Q86" s="900">
        <v>0</v>
      </c>
      <c r="R86" s="900">
        <v>0</v>
      </c>
      <c r="S86" s="900">
        <v>0</v>
      </c>
      <c r="T86" s="900">
        <v>0</v>
      </c>
      <c r="U86" s="900">
        <v>0</v>
      </c>
      <c r="V86" s="900">
        <v>0</v>
      </c>
      <c r="W86" s="900">
        <v>0</v>
      </c>
      <c r="X86" s="900">
        <v>0</v>
      </c>
      <c r="Y86" s="900">
        <v>0</v>
      </c>
      <c r="Z86" s="900">
        <v>0</v>
      </c>
      <c r="AA86" s="900">
        <v>0</v>
      </c>
      <c r="AB86" s="900">
        <v>0</v>
      </c>
      <c r="AC86" s="900">
        <v>0</v>
      </c>
      <c r="AD86" s="900">
        <v>0</v>
      </c>
      <c r="AE86" s="900">
        <v>0</v>
      </c>
      <c r="AF86" s="900">
        <v>0</v>
      </c>
      <c r="AG86" s="900">
        <v>0</v>
      </c>
      <c r="AH86" s="900">
        <v>0</v>
      </c>
      <c r="AI86" s="900">
        <v>0</v>
      </c>
      <c r="AJ86" s="901">
        <f t="shared" si="530"/>
        <v>1</v>
      </c>
      <c r="AK86" s="902">
        <f>IF((($C$7-$E86)&lt;=$H86),(($I86-$J86)/$H86*L86),0)</f>
        <v>0</v>
      </c>
      <c r="AL86" s="895">
        <f t="shared" si="719"/>
        <v>0</v>
      </c>
      <c r="AM86" s="895">
        <f t="shared" ref="AM86" si="744">IF((($C$7-$E86)&lt;=$H86),(($I86-$J86)/$H86*N86),0)</f>
        <v>4533.333333333333</v>
      </c>
      <c r="AN86" s="895">
        <f t="shared" ref="AN86" si="745">IF((($C$7-$E86)&lt;=$H86),(($I86-$J86)/$H86*O86),0)</f>
        <v>0</v>
      </c>
      <c r="AO86" s="895">
        <f t="shared" ref="AO86" si="746">IF((($C$7-$E86)&lt;=$H86),(($I86-$J86)/$H86*P86),0)</f>
        <v>0</v>
      </c>
      <c r="AP86" s="895">
        <f t="shared" ref="AP86" si="747">IF((($C$7-$E86)&lt;=$H86),(($I86-$J86)/$H86*Q86),0)</f>
        <v>0</v>
      </c>
      <c r="AQ86" s="895">
        <f t="shared" ref="AQ86" si="748">IF((($C$7-$E86)&lt;=$H86),(($I86-$J86)/$H86*R86),0)</f>
        <v>0</v>
      </c>
      <c r="AR86" s="895">
        <f t="shared" ref="AR86" si="749">IF((($C$7-$E86)&lt;=$H86),(($I86-$J86)/$H86*S86),0)</f>
        <v>0</v>
      </c>
      <c r="AS86" s="895">
        <f t="shared" ref="AS86" si="750">IF((($C$7-$E86)&lt;=$H86),(($I86-$J86)/$H86*T86),0)</f>
        <v>0</v>
      </c>
      <c r="AT86" s="895">
        <f t="shared" ref="AT86" si="751">IF((($C$7-$E86)&lt;=$H86),(($I86-$J86)/$H86*U86),0)</f>
        <v>0</v>
      </c>
      <c r="AU86" s="895">
        <f t="shared" ref="AU86" si="752">IF((($C$7-$E86)&lt;=$H86),(($I86-$J86)/$H86*V86),0)</f>
        <v>0</v>
      </c>
      <c r="AV86" s="895">
        <f t="shared" ref="AV86" si="753">IF((($C$7-$E86)&lt;=$H86),(($I86-$J86)/$H86*W86),0)</f>
        <v>0</v>
      </c>
      <c r="AW86" s="895">
        <f t="shared" ref="AW86" si="754">IF((($C$7-$E86)&lt;=$H86),(($I86-$J86)/$H86*X86),0)</f>
        <v>0</v>
      </c>
      <c r="AX86" s="895">
        <f t="shared" ref="AX86" si="755">IF((($C$7-$E86)&lt;=$H86),(($I86-$J86)/$H86*Y86),0)</f>
        <v>0</v>
      </c>
      <c r="AY86" s="895">
        <f t="shared" ref="AY86" si="756">IF((($C$7-$E86)&lt;=$H86),(($I86-$J86)/$H86*Z86),0)</f>
        <v>0</v>
      </c>
      <c r="AZ86" s="895">
        <f t="shared" ref="AZ86" si="757">IF((($C$7-$E86)&lt;=$H86),(($I86-$J86)/$H86*AA86),0)</f>
        <v>0</v>
      </c>
      <c r="BA86" s="895">
        <f t="shared" ref="BA86" si="758">IF((($C$7-$E86)&lt;=$H86),(($I86-$J86)/$H86*AB86),0)</f>
        <v>0</v>
      </c>
      <c r="BB86" s="895">
        <f t="shared" ref="BB86" si="759">IF((($C$7-$E86)&lt;=$H86),(($I86-$J86)/$H86*AC86),0)</f>
        <v>0</v>
      </c>
      <c r="BC86" s="895">
        <f t="shared" ref="BC86" si="760">IF((($C$7-$E86)&lt;=$H86),(($I86-$J86)/$H86*AD86),0)</f>
        <v>0</v>
      </c>
      <c r="BD86" s="895">
        <f t="shared" ref="BD86" si="761">IF((($C$7-$E86)&lt;=$H86),(($I86-$J86)/$H86*AE86),0)</f>
        <v>0</v>
      </c>
      <c r="BE86" s="895">
        <f t="shared" ref="BE86" si="762">IF((($C$7-$E86)&lt;=$H86),(($I86-$J86)/$H86*AF86),0)</f>
        <v>0</v>
      </c>
      <c r="BF86" s="895">
        <f t="shared" ref="BF86" si="763">IF((($C$7-$E86)&lt;=$H86),(($I86-$J86)/$H86*AG86),0)</f>
        <v>0</v>
      </c>
      <c r="BG86" s="895">
        <f t="shared" ref="BG86" si="764">IF((($C$7-$E86)&lt;=$H86),(($I86-$J86)/$H86*AH86),0)</f>
        <v>0</v>
      </c>
      <c r="BH86" s="903">
        <f t="shared" ref="BH86" si="765">IF((($C$7-$E86)&lt;=$H86),(($I86-$J86)/$H86*AI86),0)</f>
        <v>0</v>
      </c>
      <c r="BI86" s="895">
        <f t="shared" si="721"/>
        <v>0</v>
      </c>
      <c r="BJ86" s="895">
        <f t="shared" si="721"/>
        <v>0</v>
      </c>
      <c r="BK86" s="895">
        <f t="shared" ref="BK86" si="766">IF(($C$7-$E86&lt;=$H86),(($I86+$J86)/2*$C$8*N86),0)</f>
        <v>340</v>
      </c>
      <c r="BL86" s="895">
        <f t="shared" ref="BL86" si="767">IF(($C$7-$E86&lt;=$H86),(($I86+$J86)/2*$C$8*O86),0)</f>
        <v>0</v>
      </c>
      <c r="BM86" s="895">
        <f t="shared" ref="BM86" si="768">IF(($C$7-$E86&lt;=$H86),(($I86+$J86)/2*$C$8*P86),0)</f>
        <v>0</v>
      </c>
      <c r="BN86" s="895">
        <f t="shared" ref="BN86" si="769">IF(($C$7-$E86&lt;=$H86),(($I86+$J86)/2*$C$8*Q86),0)</f>
        <v>0</v>
      </c>
      <c r="BO86" s="895">
        <f t="shared" ref="BO86" si="770">IF(($C$7-$E86&lt;=$H86),(($I86+$J86)/2*$C$8*R86),0)</f>
        <v>0</v>
      </c>
      <c r="BP86" s="895">
        <f t="shared" ref="BP86" si="771">IF(($C$7-$E86&lt;=$H86),(($I86+$J86)/2*$C$8*S86),0)</f>
        <v>0</v>
      </c>
      <c r="BQ86" s="895">
        <f t="shared" ref="BQ86" si="772">IF(($C$7-$E86&lt;=$H86),(($I86+$J86)/2*$C$8*T86),0)</f>
        <v>0</v>
      </c>
      <c r="BR86" s="895">
        <f t="shared" ref="BR86" si="773">IF(($C$7-$E86&lt;=$H86),(($I86+$J86)/2*$C$8*U86),0)</f>
        <v>0</v>
      </c>
      <c r="BS86" s="895">
        <f t="shared" ref="BS86" si="774">IF(($C$7-$E86&lt;=$H86),(($I86+$J86)/2*$C$8*V86),0)</f>
        <v>0</v>
      </c>
      <c r="BT86" s="895">
        <f t="shared" ref="BT86" si="775">IF(($C$7-$E86&lt;=$H86),(($I86+$J86)/2*$C$8*W86),0)</f>
        <v>0</v>
      </c>
      <c r="BU86" s="895">
        <f t="shared" ref="BU86" si="776">IF(($C$7-$E86&lt;=$H86),(($I86+$J86)/2*$C$8*X86),0)</f>
        <v>0</v>
      </c>
      <c r="BV86" s="895">
        <f t="shared" ref="BV86" si="777">IF(($C$7-$E86&lt;=$H86),(($I86+$J86)/2*$C$8*Y86),0)</f>
        <v>0</v>
      </c>
      <c r="BW86" s="895">
        <f t="shared" ref="BW86" si="778">IF(($C$7-$E86&lt;=$H86),(($I86+$J86)/2*$C$8*Z86),0)</f>
        <v>0</v>
      </c>
      <c r="BX86" s="895">
        <f t="shared" ref="BX86" si="779">IF(($C$7-$E86&lt;=$H86),(($I86+$J86)/2*$C$8*AA86),0)</f>
        <v>0</v>
      </c>
      <c r="BY86" s="895">
        <f t="shared" ref="BY86" si="780">IF(($C$7-$E86&lt;=$H86),(($I86+$J86)/2*$C$8*AB86),0)</f>
        <v>0</v>
      </c>
      <c r="BZ86" s="895">
        <f t="shared" ref="BZ86" si="781">IF(($C$7-$E86&lt;=$H86),(($I86+$J86)/2*$C$8*AC86),0)</f>
        <v>0</v>
      </c>
      <c r="CA86" s="895">
        <f t="shared" ref="CA86" si="782">IF(($C$7-$E86&lt;=$H86),(($I86+$J86)/2*$C$8*AD86),0)</f>
        <v>0</v>
      </c>
      <c r="CB86" s="895">
        <f t="shared" ref="CB86" si="783">IF(($C$7-$E86&lt;=$H86),(($I86+$J86)/2*$C$8*AE86),0)</f>
        <v>0</v>
      </c>
      <c r="CC86" s="895">
        <f t="shared" ref="CC86" si="784">IF(($C$7-$E86&lt;=$H86),(($I86+$J86)/2*$C$8*AF86),0)</f>
        <v>0</v>
      </c>
      <c r="CD86" s="895">
        <f t="shared" ref="CD86" si="785">IF(($C$7-$E86&lt;=$H86),(($I86+$J86)/2*$C$8*AG86),0)</f>
        <v>0</v>
      </c>
      <c r="CE86" s="895">
        <f t="shared" ref="CE86" si="786">IF(($C$7-$E86&lt;=$H86),(($I86+$J86)/2*$C$8*AH86),0)</f>
        <v>0</v>
      </c>
      <c r="CF86" s="895">
        <f t="shared" ref="CF86" si="787">IF(($C$7-$E86&lt;=$H86),(($I86+$J86)/2*$C$8*AI86),0)</f>
        <v>0</v>
      </c>
      <c r="CG86" s="902">
        <f t="shared" ref="CG86" si="788">$I86*$K86*L86</f>
        <v>0</v>
      </c>
      <c r="CH86" s="895">
        <f t="shared" si="743"/>
        <v>0</v>
      </c>
      <c r="CI86" s="895">
        <f t="shared" ref="CI86" si="789">$I86*$K86*N86</f>
        <v>680</v>
      </c>
      <c r="CJ86" s="895">
        <f t="shared" ref="CJ86" si="790">$I86*$K86*O86</f>
        <v>0</v>
      </c>
      <c r="CK86" s="895">
        <f t="shared" ref="CK86" si="791">$I86*$K86*P86</f>
        <v>0</v>
      </c>
      <c r="CL86" s="895">
        <f t="shared" ref="CL86" si="792">$I86*$K86*Q86</f>
        <v>0</v>
      </c>
      <c r="CM86" s="895">
        <f t="shared" ref="CM86" si="793">$I86*$K86*R86</f>
        <v>0</v>
      </c>
      <c r="CN86" s="895">
        <f t="shared" ref="CN86" si="794">$I86*$K86*S86</f>
        <v>0</v>
      </c>
      <c r="CO86" s="895">
        <f t="shared" ref="CO86" si="795">$I86*$K86*T86</f>
        <v>0</v>
      </c>
      <c r="CP86" s="895">
        <f t="shared" ref="CP86" si="796">$I86*$K86*U86</f>
        <v>0</v>
      </c>
      <c r="CQ86" s="895">
        <f t="shared" ref="CQ86" si="797">$I86*$K86*V86</f>
        <v>0</v>
      </c>
      <c r="CR86" s="895">
        <f t="shared" ref="CR86" si="798">$I86*$K86*W86</f>
        <v>0</v>
      </c>
      <c r="CS86" s="895">
        <f t="shared" ref="CS86" si="799">$I86*$K86*X86</f>
        <v>0</v>
      </c>
      <c r="CT86" s="895">
        <f t="shared" ref="CT86" si="800">$I86*$K86*Y86</f>
        <v>0</v>
      </c>
      <c r="CU86" s="895">
        <f t="shared" ref="CU86" si="801">$I86*$K86*Z86</f>
        <v>0</v>
      </c>
      <c r="CV86" s="895">
        <f t="shared" ref="CV86" si="802">$I86*$K86*AA86</f>
        <v>0</v>
      </c>
      <c r="CW86" s="895">
        <f t="shared" ref="CW86" si="803">$I86*$K86*AB86</f>
        <v>0</v>
      </c>
      <c r="CX86" s="895">
        <f t="shared" ref="CX86" si="804">$I86*$K86*AC86</f>
        <v>0</v>
      </c>
      <c r="CY86" s="895">
        <f t="shared" ref="CY86" si="805">$I86*$K86*AD86</f>
        <v>0</v>
      </c>
      <c r="CZ86" s="895">
        <f t="shared" ref="CZ86" si="806">$I86*$K86*AE86</f>
        <v>0</v>
      </c>
      <c r="DA86" s="895">
        <f t="shared" ref="DA86" si="807">$I86*$K86*AF86</f>
        <v>0</v>
      </c>
      <c r="DB86" s="895">
        <f t="shared" ref="DB86" si="808">$I86*$K86*AG86</f>
        <v>0</v>
      </c>
      <c r="DC86" s="895">
        <f t="shared" ref="DC86" si="809">$I86*$K86*AH86</f>
        <v>0</v>
      </c>
      <c r="DD86" s="895">
        <f t="shared" ref="DD86" si="810">$I86*$K86*AI86</f>
        <v>0</v>
      </c>
      <c r="DE86" s="902">
        <f t="shared" ref="DE86" si="811">$I86*$C$9*L86</f>
        <v>0</v>
      </c>
      <c r="DF86" s="895"/>
      <c r="DG86" s="895">
        <f t="shared" ref="DG86" si="812">$I86*$C$9*N86</f>
        <v>27.2</v>
      </c>
      <c r="DH86" s="895">
        <f t="shared" ref="DH86" si="813">$I86*$C$9*O86</f>
        <v>0</v>
      </c>
      <c r="DI86" s="895">
        <f t="shared" ref="DI86" si="814">$I86*$C$9*P86</f>
        <v>0</v>
      </c>
      <c r="DJ86" s="895">
        <f t="shared" ref="DJ86" si="815">$I86*$C$9*Q86</f>
        <v>0</v>
      </c>
      <c r="DK86" s="895">
        <f t="shared" ref="DK86" si="816">$I86*$C$9*R86</f>
        <v>0</v>
      </c>
      <c r="DL86" s="895">
        <f t="shared" ref="DL86" si="817">$I86*$C$9*S86</f>
        <v>0</v>
      </c>
      <c r="DM86" s="895">
        <f t="shared" ref="DM86" si="818">$I86*$C$9*T86</f>
        <v>0</v>
      </c>
      <c r="DN86" s="895">
        <f t="shared" ref="DN86" si="819">$I86*$C$9*U86</f>
        <v>0</v>
      </c>
      <c r="DO86" s="895">
        <f t="shared" ref="DO86" si="820">$I86*$C$9*V86</f>
        <v>0</v>
      </c>
      <c r="DP86" s="895">
        <f t="shared" ref="DP86" si="821">$I86*$C$9*W86</f>
        <v>0</v>
      </c>
      <c r="DQ86" s="895">
        <f t="shared" ref="DQ86" si="822">$I86*$C$9*X86</f>
        <v>0</v>
      </c>
      <c r="DR86" s="895">
        <f t="shared" ref="DR86" si="823">$I86*$C$9*Y86</f>
        <v>0</v>
      </c>
      <c r="DS86" s="895">
        <f t="shared" ref="DS86" si="824">$I86*$C$9*Z86</f>
        <v>0</v>
      </c>
      <c r="DT86" s="895">
        <f t="shared" ref="DT86" si="825">$I86*$C$9*AA86</f>
        <v>0</v>
      </c>
      <c r="DU86" s="895">
        <f t="shared" ref="DU86" si="826">$I86*$C$9*AB86</f>
        <v>0</v>
      </c>
      <c r="DV86" s="895">
        <f t="shared" ref="DV86" si="827">$I86*$C$9*AC86</f>
        <v>0</v>
      </c>
      <c r="DW86" s="895">
        <f t="shared" ref="DW86" si="828">$I86*$C$9*AD86</f>
        <v>0</v>
      </c>
      <c r="DX86" s="895">
        <f t="shared" ref="DX86" si="829">$I86*$C$9*AE86</f>
        <v>0</v>
      </c>
      <c r="DY86" s="895">
        <f t="shared" ref="DY86" si="830">$I86*$C$9*AF86</f>
        <v>0</v>
      </c>
      <c r="DZ86" s="895">
        <f t="shared" ref="DZ86" si="831">$I86*$C$9*AG86</f>
        <v>0</v>
      </c>
      <c r="EA86" s="895">
        <f t="shared" ref="EA86" si="832">$I86*$C$9*AH86</f>
        <v>0</v>
      </c>
      <c r="EB86" s="903">
        <f t="shared" ref="EB86" si="833">$I86*$C$9*AI86</f>
        <v>0</v>
      </c>
    </row>
    <row r="87" spans="1:132" s="594" customFormat="1" ht="13.2" customHeight="1" thickBot="1" x14ac:dyDescent="0.3">
      <c r="B87" s="594" t="str">
        <f>'Gårdens info'!C137</f>
        <v>trädgårdsproduktionsmedel X</v>
      </c>
      <c r="C87" s="596">
        <f>'Gårdens info'!D137</f>
        <v>0</v>
      </c>
      <c r="D87" s="594" t="s">
        <v>246</v>
      </c>
      <c r="E87" s="596">
        <f>'Gårdens info'!J137</f>
        <v>2024</v>
      </c>
      <c r="F87" s="596">
        <f>'Gårdens info'!G137</f>
        <v>1</v>
      </c>
      <c r="G87" s="611" t="s">
        <v>31</v>
      </c>
      <c r="H87" s="612">
        <v>10</v>
      </c>
      <c r="I87" s="594">
        <f t="shared" si="622"/>
        <v>0</v>
      </c>
      <c r="J87" s="597">
        <v>0</v>
      </c>
      <c r="K87" s="598">
        <v>0.05</v>
      </c>
      <c r="L87"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87" s="600">
        <v>0</v>
      </c>
      <c r="N87"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87"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87"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87"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87"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87"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87"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87"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87"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87"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87"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87"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87"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87"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87"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87"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87" s="600">
        <v>0</v>
      </c>
      <c r="AE87" s="600">
        <v>0</v>
      </c>
      <c r="AF87" s="600">
        <v>0</v>
      </c>
      <c r="AG87" s="600">
        <v>0</v>
      </c>
      <c r="AH87" s="600">
        <v>0</v>
      </c>
      <c r="AI87" s="600">
        <v>0</v>
      </c>
      <c r="AJ87" s="604">
        <f>+SUM(L87:AI87)</f>
        <v>1</v>
      </c>
      <c r="AK87" s="602">
        <f t="shared" si="531"/>
        <v>0</v>
      </c>
      <c r="AL87" s="596">
        <f t="shared" si="719"/>
        <v>0</v>
      </c>
      <c r="AM87" s="596">
        <f t="shared" ref="AM87:AU89" si="834">IF((($C$7-$E87)&lt;=$H87),(($I87-$J87)/$H87*N87),0)</f>
        <v>0</v>
      </c>
      <c r="AN87" s="596">
        <f t="shared" si="834"/>
        <v>0</v>
      </c>
      <c r="AO87" s="596">
        <f t="shared" si="834"/>
        <v>0</v>
      </c>
      <c r="AP87" s="596">
        <f t="shared" si="834"/>
        <v>0</v>
      </c>
      <c r="AQ87" s="596">
        <f t="shared" si="834"/>
        <v>0</v>
      </c>
      <c r="AR87" s="596">
        <f t="shared" si="834"/>
        <v>0</v>
      </c>
      <c r="AS87" s="596">
        <f t="shared" si="834"/>
        <v>0</v>
      </c>
      <c r="AT87" s="596">
        <f t="shared" si="834"/>
        <v>0</v>
      </c>
      <c r="AU87" s="596">
        <f t="shared" si="834"/>
        <v>0</v>
      </c>
      <c r="AV87" s="596">
        <f t="shared" si="541"/>
        <v>0</v>
      </c>
      <c r="AW87" s="596">
        <f t="shared" si="720"/>
        <v>0</v>
      </c>
      <c r="AX87" s="596">
        <f t="shared" si="720"/>
        <v>0</v>
      </c>
      <c r="AY87" s="596">
        <f t="shared" si="720"/>
        <v>0</v>
      </c>
      <c r="AZ87" s="596">
        <f t="shared" si="545"/>
        <v>0</v>
      </c>
      <c r="BA87" s="596">
        <f t="shared" si="546"/>
        <v>0</v>
      </c>
      <c r="BB87" s="596">
        <f t="shared" si="547"/>
        <v>0</v>
      </c>
      <c r="BC87" s="596">
        <f t="shared" si="548"/>
        <v>0</v>
      </c>
      <c r="BD87" s="596">
        <f t="shared" si="549"/>
        <v>0</v>
      </c>
      <c r="BE87" s="596">
        <f t="shared" ref="BE87:BF89" si="835">IF((($C$7-$E87)&lt;=$H87),(($I87-$J87)/$H87*AF87),0)</f>
        <v>0</v>
      </c>
      <c r="BF87" s="596">
        <f t="shared" si="835"/>
        <v>0</v>
      </c>
      <c r="BG87" s="596">
        <f t="shared" si="552"/>
        <v>0</v>
      </c>
      <c r="BH87" s="603">
        <f t="shared" si="553"/>
        <v>0</v>
      </c>
      <c r="BI87" s="596">
        <f t="shared" si="554"/>
        <v>0</v>
      </c>
      <c r="BJ87" s="596">
        <f t="shared" ref="BJ87:BS89" si="836">IF(($C$7-$E87&lt;=$H87),(($I87+$J87)/2*$C$8*M87),0)</f>
        <v>0</v>
      </c>
      <c r="BK87" s="596">
        <f t="shared" si="836"/>
        <v>0</v>
      </c>
      <c r="BL87" s="596">
        <f t="shared" si="836"/>
        <v>0</v>
      </c>
      <c r="BM87" s="596">
        <f t="shared" si="836"/>
        <v>0</v>
      </c>
      <c r="BN87" s="596">
        <f t="shared" si="836"/>
        <v>0</v>
      </c>
      <c r="BO87" s="596">
        <f t="shared" si="836"/>
        <v>0</v>
      </c>
      <c r="BP87" s="596">
        <f t="shared" si="836"/>
        <v>0</v>
      </c>
      <c r="BQ87" s="596">
        <f t="shared" si="836"/>
        <v>0</v>
      </c>
      <c r="BR87" s="596">
        <f t="shared" si="836"/>
        <v>0</v>
      </c>
      <c r="BS87" s="596">
        <f t="shared" si="836"/>
        <v>0</v>
      </c>
      <c r="BT87" s="596">
        <f t="shared" si="564"/>
        <v>0</v>
      </c>
      <c r="BU87" s="596">
        <f t="shared" si="565"/>
        <v>0</v>
      </c>
      <c r="BV87" s="596">
        <f t="shared" si="566"/>
        <v>0</v>
      </c>
      <c r="BW87" s="596">
        <f t="shared" si="567"/>
        <v>0</v>
      </c>
      <c r="BX87" s="596">
        <f t="shared" si="568"/>
        <v>0</v>
      </c>
      <c r="BY87" s="596">
        <f t="shared" si="569"/>
        <v>0</v>
      </c>
      <c r="BZ87" s="596">
        <f t="shared" si="570"/>
        <v>0</v>
      </c>
      <c r="CA87" s="596">
        <f t="shared" si="571"/>
        <v>0</v>
      </c>
      <c r="CB87" s="596">
        <f t="shared" si="572"/>
        <v>0</v>
      </c>
      <c r="CC87" s="596">
        <f t="shared" ref="CC87:CD89" si="837">IF(($C$7-$E87&lt;=$H87),(($I87+$J87)/2*$C$8*AF87),0)</f>
        <v>0</v>
      </c>
      <c r="CD87" s="596">
        <f t="shared" si="837"/>
        <v>0</v>
      </c>
      <c r="CE87" s="596">
        <f t="shared" si="575"/>
        <v>0</v>
      </c>
      <c r="CF87" s="596">
        <f t="shared" si="576"/>
        <v>0</v>
      </c>
      <c r="CG87" s="602">
        <f t="shared" si="577"/>
        <v>0</v>
      </c>
      <c r="CH87" s="596">
        <f t="shared" si="743"/>
        <v>0</v>
      </c>
      <c r="CI87" s="596">
        <f t="shared" ref="CI87:CQ89" si="838">$I87*$K87*N87</f>
        <v>0</v>
      </c>
      <c r="CJ87" s="596">
        <f t="shared" si="838"/>
        <v>0</v>
      </c>
      <c r="CK87" s="596">
        <f t="shared" si="838"/>
        <v>0</v>
      </c>
      <c r="CL87" s="596">
        <f t="shared" si="838"/>
        <v>0</v>
      </c>
      <c r="CM87" s="596">
        <f t="shared" si="838"/>
        <v>0</v>
      </c>
      <c r="CN87" s="596">
        <f t="shared" si="838"/>
        <v>0</v>
      </c>
      <c r="CO87" s="596">
        <f t="shared" si="838"/>
        <v>0</v>
      </c>
      <c r="CP87" s="596">
        <f t="shared" si="838"/>
        <v>0</v>
      </c>
      <c r="CQ87" s="596">
        <f t="shared" si="838"/>
        <v>0</v>
      </c>
      <c r="CR87" s="596">
        <f t="shared" si="587"/>
        <v>0</v>
      </c>
      <c r="CS87" s="596">
        <f t="shared" si="588"/>
        <v>0</v>
      </c>
      <c r="CT87" s="596">
        <f t="shared" si="589"/>
        <v>0</v>
      </c>
      <c r="CU87" s="596">
        <f t="shared" si="590"/>
        <v>0</v>
      </c>
      <c r="CV87" s="596">
        <f t="shared" si="591"/>
        <v>0</v>
      </c>
      <c r="CW87" s="596">
        <f t="shared" si="592"/>
        <v>0</v>
      </c>
      <c r="CX87" s="596">
        <f t="shared" si="593"/>
        <v>0</v>
      </c>
      <c r="CY87" s="596">
        <f t="shared" si="594"/>
        <v>0</v>
      </c>
      <c r="CZ87" s="596">
        <f t="shared" si="595"/>
        <v>0</v>
      </c>
      <c r="DA87" s="596">
        <f t="shared" ref="DA87:DB89" si="839">$I87*$K87*AF87</f>
        <v>0</v>
      </c>
      <c r="DB87" s="596">
        <f t="shared" si="839"/>
        <v>0</v>
      </c>
      <c r="DC87" s="596">
        <f t="shared" si="598"/>
        <v>0</v>
      </c>
      <c r="DD87" s="596">
        <f t="shared" si="599"/>
        <v>0</v>
      </c>
      <c r="DE87" s="602">
        <f t="shared" si="600"/>
        <v>0</v>
      </c>
      <c r="DF87" s="596"/>
      <c r="DG87" s="596">
        <f t="shared" si="601"/>
        <v>0</v>
      </c>
      <c r="DH87" s="596">
        <f t="shared" ref="DH87:DO89" si="840">$I87*$C$9*O87</f>
        <v>0</v>
      </c>
      <c r="DI87" s="596">
        <f t="shared" si="840"/>
        <v>0</v>
      </c>
      <c r="DJ87" s="596">
        <f t="shared" si="840"/>
        <v>0</v>
      </c>
      <c r="DK87" s="596">
        <f t="shared" si="840"/>
        <v>0</v>
      </c>
      <c r="DL87" s="596">
        <f t="shared" si="840"/>
        <v>0</v>
      </c>
      <c r="DM87" s="596">
        <f t="shared" si="840"/>
        <v>0</v>
      </c>
      <c r="DN87" s="596">
        <f t="shared" si="840"/>
        <v>0</v>
      </c>
      <c r="DO87" s="596">
        <f t="shared" si="840"/>
        <v>0</v>
      </c>
      <c r="DP87" s="596">
        <f t="shared" si="609"/>
        <v>0</v>
      </c>
      <c r="DQ87" s="596">
        <f t="shared" si="610"/>
        <v>0</v>
      </c>
      <c r="DR87" s="596">
        <f t="shared" si="611"/>
        <v>0</v>
      </c>
      <c r="DS87" s="596">
        <f t="shared" si="612"/>
        <v>0</v>
      </c>
      <c r="DT87" s="596">
        <f t="shared" si="613"/>
        <v>0</v>
      </c>
      <c r="DU87" s="596">
        <f t="shared" si="614"/>
        <v>0</v>
      </c>
      <c r="DV87" s="596">
        <f t="shared" si="615"/>
        <v>0</v>
      </c>
      <c r="DW87" s="596">
        <f t="shared" si="616"/>
        <v>0</v>
      </c>
      <c r="DX87" s="596">
        <f t="shared" si="617"/>
        <v>0</v>
      </c>
      <c r="DY87" s="596">
        <f t="shared" ref="DY87:DZ89" si="841">$I87*$C$9*AF87</f>
        <v>0</v>
      </c>
      <c r="DZ87" s="596">
        <f t="shared" si="841"/>
        <v>0</v>
      </c>
      <c r="EA87" s="596">
        <f t="shared" si="620"/>
        <v>0</v>
      </c>
      <c r="EB87" s="603">
        <f t="shared" si="621"/>
        <v>0</v>
      </c>
    </row>
    <row r="88" spans="1:132" s="594" customFormat="1" ht="13.8" thickBot="1" x14ac:dyDescent="0.3">
      <c r="B88" s="594" t="str">
        <f>'Gårdens info'!C138</f>
        <v>trädgårdsproduktionsmedel X</v>
      </c>
      <c r="C88" s="596">
        <f>'Gårdens info'!D138</f>
        <v>0</v>
      </c>
      <c r="D88" s="594" t="s">
        <v>246</v>
      </c>
      <c r="E88" s="596">
        <f>'Gårdens info'!J138</f>
        <v>2024</v>
      </c>
      <c r="F88" s="596">
        <f>'Gårdens info'!G138</f>
        <v>1</v>
      </c>
      <c r="G88" s="611" t="s">
        <v>31</v>
      </c>
      <c r="H88" s="612">
        <v>10</v>
      </c>
      <c r="I88" s="594">
        <f t="shared" si="622"/>
        <v>0</v>
      </c>
      <c r="J88" s="597">
        <v>0</v>
      </c>
      <c r="K88" s="598">
        <v>0.05</v>
      </c>
      <c r="L88"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88" s="600">
        <v>0</v>
      </c>
      <c r="N88"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88"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88"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88"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88"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88"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88"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88"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88"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88"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88"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88"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88"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88"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88"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88"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88" s="600">
        <v>0</v>
      </c>
      <c r="AE88" s="600">
        <v>0</v>
      </c>
      <c r="AF88" s="600">
        <v>0</v>
      </c>
      <c r="AG88" s="600">
        <v>0</v>
      </c>
      <c r="AH88" s="600">
        <v>0</v>
      </c>
      <c r="AI88" s="600">
        <v>0</v>
      </c>
      <c r="AJ88" s="604">
        <f t="shared" si="530"/>
        <v>1</v>
      </c>
      <c r="AK88" s="602">
        <f t="shared" si="531"/>
        <v>0</v>
      </c>
      <c r="AL88" s="596">
        <f t="shared" si="719"/>
        <v>0</v>
      </c>
      <c r="AM88" s="596">
        <f t="shared" si="834"/>
        <v>0</v>
      </c>
      <c r="AN88" s="596">
        <f t="shared" si="834"/>
        <v>0</v>
      </c>
      <c r="AO88" s="596">
        <f t="shared" si="834"/>
        <v>0</v>
      </c>
      <c r="AP88" s="596">
        <f t="shared" si="834"/>
        <v>0</v>
      </c>
      <c r="AQ88" s="596">
        <f t="shared" si="834"/>
        <v>0</v>
      </c>
      <c r="AR88" s="596">
        <f t="shared" si="834"/>
        <v>0</v>
      </c>
      <c r="AS88" s="596">
        <f t="shared" si="834"/>
        <v>0</v>
      </c>
      <c r="AT88" s="596">
        <f t="shared" si="834"/>
        <v>0</v>
      </c>
      <c r="AU88" s="596">
        <f t="shared" si="834"/>
        <v>0</v>
      </c>
      <c r="AV88" s="596">
        <f t="shared" si="541"/>
        <v>0</v>
      </c>
      <c r="AW88" s="596">
        <f t="shared" si="720"/>
        <v>0</v>
      </c>
      <c r="AX88" s="596">
        <f t="shared" si="720"/>
        <v>0</v>
      </c>
      <c r="AY88" s="596">
        <f t="shared" si="720"/>
        <v>0</v>
      </c>
      <c r="AZ88" s="596">
        <f t="shared" si="545"/>
        <v>0</v>
      </c>
      <c r="BA88" s="596">
        <f t="shared" si="546"/>
        <v>0</v>
      </c>
      <c r="BB88" s="596">
        <f t="shared" si="547"/>
        <v>0</v>
      </c>
      <c r="BC88" s="596">
        <f t="shared" si="548"/>
        <v>0</v>
      </c>
      <c r="BD88" s="596">
        <f t="shared" si="549"/>
        <v>0</v>
      </c>
      <c r="BE88" s="596">
        <f t="shared" si="835"/>
        <v>0</v>
      </c>
      <c r="BF88" s="596">
        <f t="shared" si="835"/>
        <v>0</v>
      </c>
      <c r="BG88" s="596">
        <f t="shared" si="552"/>
        <v>0</v>
      </c>
      <c r="BH88" s="596">
        <f t="shared" si="553"/>
        <v>0</v>
      </c>
      <c r="BI88" s="602">
        <f t="shared" si="554"/>
        <v>0</v>
      </c>
      <c r="BJ88" s="596">
        <f t="shared" si="836"/>
        <v>0</v>
      </c>
      <c r="BK88" s="596">
        <f t="shared" si="836"/>
        <v>0</v>
      </c>
      <c r="BL88" s="596">
        <f t="shared" si="836"/>
        <v>0</v>
      </c>
      <c r="BM88" s="596">
        <f t="shared" si="836"/>
        <v>0</v>
      </c>
      <c r="BN88" s="596">
        <f t="shared" si="836"/>
        <v>0</v>
      </c>
      <c r="BO88" s="596">
        <f t="shared" si="836"/>
        <v>0</v>
      </c>
      <c r="BP88" s="596">
        <f t="shared" si="836"/>
        <v>0</v>
      </c>
      <c r="BQ88" s="596">
        <f t="shared" si="836"/>
        <v>0</v>
      </c>
      <c r="BR88" s="596">
        <f t="shared" si="836"/>
        <v>0</v>
      </c>
      <c r="BS88" s="596">
        <f t="shared" si="836"/>
        <v>0</v>
      </c>
      <c r="BT88" s="596">
        <f t="shared" si="564"/>
        <v>0</v>
      </c>
      <c r="BU88" s="596">
        <f t="shared" si="565"/>
        <v>0</v>
      </c>
      <c r="BV88" s="596">
        <f t="shared" si="566"/>
        <v>0</v>
      </c>
      <c r="BW88" s="596">
        <f t="shared" si="567"/>
        <v>0</v>
      </c>
      <c r="BX88" s="596">
        <f t="shared" si="568"/>
        <v>0</v>
      </c>
      <c r="BY88" s="596">
        <f t="shared" si="569"/>
        <v>0</v>
      </c>
      <c r="BZ88" s="596">
        <f t="shared" si="570"/>
        <v>0</v>
      </c>
      <c r="CA88" s="596">
        <f t="shared" si="571"/>
        <v>0</v>
      </c>
      <c r="CB88" s="596">
        <f t="shared" si="572"/>
        <v>0</v>
      </c>
      <c r="CC88" s="596">
        <f t="shared" si="837"/>
        <v>0</v>
      </c>
      <c r="CD88" s="596">
        <f t="shared" si="837"/>
        <v>0</v>
      </c>
      <c r="CE88" s="596">
        <f t="shared" si="575"/>
        <v>0</v>
      </c>
      <c r="CF88" s="596">
        <f t="shared" si="576"/>
        <v>0</v>
      </c>
      <c r="CG88" s="602">
        <f t="shared" si="577"/>
        <v>0</v>
      </c>
      <c r="CH88" s="596">
        <f t="shared" si="743"/>
        <v>0</v>
      </c>
      <c r="CI88" s="596">
        <f t="shared" si="838"/>
        <v>0</v>
      </c>
      <c r="CJ88" s="596">
        <f t="shared" si="838"/>
        <v>0</v>
      </c>
      <c r="CK88" s="596">
        <f t="shared" si="838"/>
        <v>0</v>
      </c>
      <c r="CL88" s="596">
        <f t="shared" si="838"/>
        <v>0</v>
      </c>
      <c r="CM88" s="596">
        <f t="shared" si="838"/>
        <v>0</v>
      </c>
      <c r="CN88" s="596">
        <f t="shared" si="838"/>
        <v>0</v>
      </c>
      <c r="CO88" s="596">
        <f t="shared" si="838"/>
        <v>0</v>
      </c>
      <c r="CP88" s="596">
        <f t="shared" si="838"/>
        <v>0</v>
      </c>
      <c r="CQ88" s="596">
        <f t="shared" si="838"/>
        <v>0</v>
      </c>
      <c r="CR88" s="596">
        <f t="shared" si="587"/>
        <v>0</v>
      </c>
      <c r="CS88" s="596">
        <f t="shared" si="588"/>
        <v>0</v>
      </c>
      <c r="CT88" s="596">
        <f t="shared" si="589"/>
        <v>0</v>
      </c>
      <c r="CU88" s="596">
        <f t="shared" si="590"/>
        <v>0</v>
      </c>
      <c r="CV88" s="596">
        <f t="shared" si="591"/>
        <v>0</v>
      </c>
      <c r="CW88" s="596">
        <f t="shared" si="592"/>
        <v>0</v>
      </c>
      <c r="CX88" s="596">
        <f t="shared" si="593"/>
        <v>0</v>
      </c>
      <c r="CY88" s="596">
        <f t="shared" si="594"/>
        <v>0</v>
      </c>
      <c r="CZ88" s="596">
        <f t="shared" si="595"/>
        <v>0</v>
      </c>
      <c r="DA88" s="596">
        <f t="shared" si="839"/>
        <v>0</v>
      </c>
      <c r="DB88" s="596">
        <f t="shared" si="839"/>
        <v>0</v>
      </c>
      <c r="DC88" s="596">
        <f t="shared" si="598"/>
        <v>0</v>
      </c>
      <c r="DD88" s="596">
        <f t="shared" si="599"/>
        <v>0</v>
      </c>
      <c r="DE88" s="602">
        <f t="shared" si="600"/>
        <v>0</v>
      </c>
      <c r="DF88" s="596"/>
      <c r="DG88" s="596">
        <f t="shared" si="601"/>
        <v>0</v>
      </c>
      <c r="DH88" s="596">
        <f t="shared" si="840"/>
        <v>0</v>
      </c>
      <c r="DI88" s="596">
        <f t="shared" si="840"/>
        <v>0</v>
      </c>
      <c r="DJ88" s="596">
        <f t="shared" si="840"/>
        <v>0</v>
      </c>
      <c r="DK88" s="596">
        <f t="shared" si="840"/>
        <v>0</v>
      </c>
      <c r="DL88" s="596">
        <f t="shared" si="840"/>
        <v>0</v>
      </c>
      <c r="DM88" s="596">
        <f t="shared" si="840"/>
        <v>0</v>
      </c>
      <c r="DN88" s="596">
        <f t="shared" si="840"/>
        <v>0</v>
      </c>
      <c r="DO88" s="596">
        <f t="shared" si="840"/>
        <v>0</v>
      </c>
      <c r="DP88" s="596">
        <f t="shared" si="609"/>
        <v>0</v>
      </c>
      <c r="DQ88" s="596">
        <f t="shared" si="610"/>
        <v>0</v>
      </c>
      <c r="DR88" s="596">
        <f t="shared" si="611"/>
        <v>0</v>
      </c>
      <c r="DS88" s="596">
        <f t="shared" si="612"/>
        <v>0</v>
      </c>
      <c r="DT88" s="596">
        <f t="shared" si="613"/>
        <v>0</v>
      </c>
      <c r="DU88" s="596">
        <f t="shared" si="614"/>
        <v>0</v>
      </c>
      <c r="DV88" s="596">
        <f t="shared" si="615"/>
        <v>0</v>
      </c>
      <c r="DW88" s="596">
        <f t="shared" si="616"/>
        <v>0</v>
      </c>
      <c r="DX88" s="596">
        <f t="shared" si="617"/>
        <v>0</v>
      </c>
      <c r="DY88" s="596">
        <f t="shared" si="841"/>
        <v>0</v>
      </c>
      <c r="DZ88" s="596">
        <f t="shared" si="841"/>
        <v>0</v>
      </c>
      <c r="EA88" s="596">
        <f t="shared" si="620"/>
        <v>0</v>
      </c>
      <c r="EB88" s="603">
        <f t="shared" si="621"/>
        <v>0</v>
      </c>
    </row>
    <row r="89" spans="1:132" s="594" customFormat="1" ht="13.8" thickBot="1" x14ac:dyDescent="0.3">
      <c r="B89" s="594" t="str">
        <f>'Gårdens info'!C139</f>
        <v>trädgårdsproduktionsmedel X</v>
      </c>
      <c r="C89" s="596">
        <f>'Gårdens info'!D139</f>
        <v>0</v>
      </c>
      <c r="D89" s="594" t="s">
        <v>246</v>
      </c>
      <c r="E89" s="596">
        <f>'Gårdens info'!J139</f>
        <v>2024</v>
      </c>
      <c r="F89" s="596">
        <f>'Gårdens info'!G139</f>
        <v>1</v>
      </c>
      <c r="G89" s="611" t="s">
        <v>31</v>
      </c>
      <c r="H89" s="612">
        <v>10</v>
      </c>
      <c r="I89" s="594">
        <f t="shared" si="622"/>
        <v>0</v>
      </c>
      <c r="J89" s="597">
        <v>0</v>
      </c>
      <c r="K89" s="598">
        <v>0.05</v>
      </c>
      <c r="L89" s="600">
        <f>'Gårdens info'!$D$12/('Gårdens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M89" s="600">
        <v>0</v>
      </c>
      <c r="N89" s="600">
        <f>'Gårdens info'!$D$13/('Gårdens info'!$D$12+'Gårdens info'!$D$13+'Gårdens info'!$D$14+'Gårdens info'!$D$15+'Gårdens info'!$D$16+'Gårdens info'!$D$17+'Gårdens info'!$D$18+'Gårdens info'!$D$19+'Gårdens info'!$D$20+'Gårdens info'!$D$21+'Gårdens info'!$D$28+'Gårdens info'!$D$29+'Gårdens info'!$D$30+'Gårdens info'!$D$31+'Gårdens info'!$D$32+'Gårdens info'!$D$33+'Gårdens info'!$D$34)</f>
        <v>0.27027027027027029</v>
      </c>
      <c r="O89" s="600">
        <f>'Gårdens info'!$D$14/('Gårdens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P89" s="600">
        <f>'Gårdens info'!$D$15/('Gårdens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Q89" s="600">
        <f>'Gårdens info'!$D$16/('Gårdens info'!$D$12+'Gårdens info'!$D$13+'Gårdens info'!$D$14+'Gårdens info'!$D$15+'Gårdens info'!$D$16+'Gårdens info'!$D$17+'Gårdens info'!$D$18+'Gårdens info'!$D$19+'Gårdens info'!$D$20+'Gårdens info'!$D$21+'Gårdens info'!$D$28+'Gårdens info'!$D$29+'Gårdens info'!$D$30+'Gårdens info'!$D$31+'Gårdens info'!$D$32+'Gårdens info'!$D$33+'Gårdens info'!$D$34)</f>
        <v>5.4054054054054057E-2</v>
      </c>
      <c r="R89" s="600">
        <f>'Gårdens info'!$D$17/('Gårdens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S89" s="600">
        <f>'Gårdens info'!$D$18/('Gårdens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T89" s="600">
        <f>'Gårdens info'!$D$19/('Gårdens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U89" s="600">
        <f>'Gårdens info'!$D$20/('Gårdens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V89" s="600">
        <f>'Gårdens info'!$D$21/('Gårdens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W89" s="600">
        <f>'Gårdens info'!$D$28/('Gårdens info'!$D$12+'Gårdens info'!$D$13+'Gårdens info'!$D$14+'Gårdens info'!$D$15+'Gårdens info'!$D$16+'Gårdens info'!$D$17+'Gårdens info'!$D$18+'Gårdens info'!$D$19+'Gårdens info'!$D$20+'Gårdens info'!$D$21+'Gårdens info'!$D$28+'Gårdens info'!$D$29+'Gårdens info'!$D$30+'Gårdens info'!$D$31+'Gårdens info'!$D$32+'Gårdens info'!$D$33+'Gårdens info'!$D$34)</f>
        <v>8.1081081081081086E-2</v>
      </c>
      <c r="X89" s="600">
        <f>'Gårdens info'!$D$29/('Gårdens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Y89" s="600">
        <f>'Gårdens info'!$D$30/('Gårdens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Z89" s="600">
        <f>'Gårdens info'!$D$31/('Gårdens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A89" s="600">
        <f>'Gårdens info'!$D$32/('Gårdens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B89" s="600">
        <f>'Gårdens info'!$D$33/('Gårdens info'!$D$12+'Gårdens info'!$D$13+'Gårdens info'!$D$14+'Gårdens info'!$D$15+'Gårdens info'!$D$16+'Gårdens info'!$D$17+'Gårdens info'!$D$18+'Gårdens info'!$D$19+'Gårdens info'!$D$20+'Gårdens info'!$D$21+'Gårdens info'!$D$28+'Gårdens info'!$D$29+'Gårdens info'!$D$30+'Gårdens info'!$D$31+'Gårdens info'!$D$32+'Gårdens info'!$D$33+'Gårdens info'!$D$34)</f>
        <v>0</v>
      </c>
      <c r="AC89" s="600">
        <f>'Gårdens info'!$D$34/('Gårdens info'!$D$12+'Gårdens info'!$D$13+'Gårdens info'!$D$14+'Gårdens info'!$D$15+'Gårdens info'!$D$16+'Gårdens info'!$D$17+'Gårdens info'!$D$18+'Gårdens info'!$D$19+'Gårdens info'!$D$20+'Gårdens info'!$D$21+'Gårdens info'!$D$28+'Gårdens info'!$D$29+'Gårdens info'!$D$30+'Gårdens info'!$D$31+'Gårdens info'!$D$32+'Gårdens info'!$D$33+'Gårdens info'!$D$34)</f>
        <v>0.13513513513513514</v>
      </c>
      <c r="AD89" s="600">
        <v>0</v>
      </c>
      <c r="AE89" s="600">
        <v>0</v>
      </c>
      <c r="AF89" s="600">
        <v>0</v>
      </c>
      <c r="AG89" s="600">
        <v>0</v>
      </c>
      <c r="AH89" s="600">
        <v>0</v>
      </c>
      <c r="AI89" s="600">
        <v>0</v>
      </c>
      <c r="AJ89" s="604">
        <f t="shared" si="530"/>
        <v>1</v>
      </c>
      <c r="AK89" s="602">
        <f t="shared" si="531"/>
        <v>0</v>
      </c>
      <c r="AL89" s="596">
        <f t="shared" si="719"/>
        <v>0</v>
      </c>
      <c r="AM89" s="596">
        <f t="shared" si="834"/>
        <v>0</v>
      </c>
      <c r="AN89" s="596">
        <f t="shared" si="834"/>
        <v>0</v>
      </c>
      <c r="AO89" s="596">
        <f t="shared" si="834"/>
        <v>0</v>
      </c>
      <c r="AP89" s="596">
        <f t="shared" si="834"/>
        <v>0</v>
      </c>
      <c r="AQ89" s="596">
        <f t="shared" si="834"/>
        <v>0</v>
      </c>
      <c r="AR89" s="596">
        <f t="shared" si="834"/>
        <v>0</v>
      </c>
      <c r="AS89" s="596">
        <f t="shared" si="834"/>
        <v>0</v>
      </c>
      <c r="AT89" s="596">
        <f t="shared" si="834"/>
        <v>0</v>
      </c>
      <c r="AU89" s="596">
        <f t="shared" si="834"/>
        <v>0</v>
      </c>
      <c r="AV89" s="596">
        <f t="shared" si="541"/>
        <v>0</v>
      </c>
      <c r="AW89" s="596">
        <f t="shared" si="720"/>
        <v>0</v>
      </c>
      <c r="AX89" s="596">
        <f t="shared" si="720"/>
        <v>0</v>
      </c>
      <c r="AY89" s="596">
        <f t="shared" si="720"/>
        <v>0</v>
      </c>
      <c r="AZ89" s="596">
        <f t="shared" si="545"/>
        <v>0</v>
      </c>
      <c r="BA89" s="596">
        <f t="shared" si="546"/>
        <v>0</v>
      </c>
      <c r="BB89" s="596">
        <f t="shared" si="547"/>
        <v>0</v>
      </c>
      <c r="BC89" s="596">
        <f t="shared" si="548"/>
        <v>0</v>
      </c>
      <c r="BD89" s="596">
        <f t="shared" si="549"/>
        <v>0</v>
      </c>
      <c r="BE89" s="596">
        <f t="shared" si="835"/>
        <v>0</v>
      </c>
      <c r="BF89" s="596">
        <f t="shared" si="835"/>
        <v>0</v>
      </c>
      <c r="BG89" s="596">
        <f t="shared" si="552"/>
        <v>0</v>
      </c>
      <c r="BH89" s="596">
        <f t="shared" si="553"/>
        <v>0</v>
      </c>
      <c r="BI89" s="602">
        <f t="shared" si="554"/>
        <v>0</v>
      </c>
      <c r="BJ89" s="596">
        <f t="shared" si="836"/>
        <v>0</v>
      </c>
      <c r="BK89" s="596">
        <f t="shared" si="836"/>
        <v>0</v>
      </c>
      <c r="BL89" s="596">
        <f t="shared" si="836"/>
        <v>0</v>
      </c>
      <c r="BM89" s="596">
        <f t="shared" si="836"/>
        <v>0</v>
      </c>
      <c r="BN89" s="596">
        <f t="shared" si="836"/>
        <v>0</v>
      </c>
      <c r="BO89" s="596">
        <f t="shared" si="836"/>
        <v>0</v>
      </c>
      <c r="BP89" s="596">
        <f t="shared" si="836"/>
        <v>0</v>
      </c>
      <c r="BQ89" s="596">
        <f t="shared" si="836"/>
        <v>0</v>
      </c>
      <c r="BR89" s="596">
        <f t="shared" si="836"/>
        <v>0</v>
      </c>
      <c r="BS89" s="596">
        <f t="shared" si="836"/>
        <v>0</v>
      </c>
      <c r="BT89" s="596">
        <f t="shared" si="564"/>
        <v>0</v>
      </c>
      <c r="BU89" s="596">
        <f t="shared" si="565"/>
        <v>0</v>
      </c>
      <c r="BV89" s="596">
        <f t="shared" si="566"/>
        <v>0</v>
      </c>
      <c r="BW89" s="596">
        <f t="shared" si="567"/>
        <v>0</v>
      </c>
      <c r="BX89" s="596">
        <f t="shared" si="568"/>
        <v>0</v>
      </c>
      <c r="BY89" s="596">
        <f t="shared" si="569"/>
        <v>0</v>
      </c>
      <c r="BZ89" s="596">
        <f t="shared" si="570"/>
        <v>0</v>
      </c>
      <c r="CA89" s="596">
        <f t="shared" si="571"/>
        <v>0</v>
      </c>
      <c r="CB89" s="596">
        <f t="shared" si="572"/>
        <v>0</v>
      </c>
      <c r="CC89" s="596">
        <f t="shared" si="837"/>
        <v>0</v>
      </c>
      <c r="CD89" s="596">
        <f t="shared" si="837"/>
        <v>0</v>
      </c>
      <c r="CE89" s="596">
        <f t="shared" si="575"/>
        <v>0</v>
      </c>
      <c r="CF89" s="596">
        <f t="shared" si="576"/>
        <v>0</v>
      </c>
      <c r="CG89" s="602">
        <f t="shared" si="577"/>
        <v>0</v>
      </c>
      <c r="CH89" s="596">
        <f t="shared" si="743"/>
        <v>0</v>
      </c>
      <c r="CI89" s="596">
        <f t="shared" si="838"/>
        <v>0</v>
      </c>
      <c r="CJ89" s="596">
        <f t="shared" si="838"/>
        <v>0</v>
      </c>
      <c r="CK89" s="596">
        <f t="shared" si="838"/>
        <v>0</v>
      </c>
      <c r="CL89" s="596">
        <f t="shared" si="838"/>
        <v>0</v>
      </c>
      <c r="CM89" s="596">
        <f t="shared" si="838"/>
        <v>0</v>
      </c>
      <c r="CN89" s="596">
        <f t="shared" si="838"/>
        <v>0</v>
      </c>
      <c r="CO89" s="596">
        <f t="shared" si="838"/>
        <v>0</v>
      </c>
      <c r="CP89" s="596">
        <f t="shared" si="838"/>
        <v>0</v>
      </c>
      <c r="CQ89" s="596">
        <f t="shared" si="838"/>
        <v>0</v>
      </c>
      <c r="CR89" s="596">
        <f t="shared" si="587"/>
        <v>0</v>
      </c>
      <c r="CS89" s="596">
        <f t="shared" si="588"/>
        <v>0</v>
      </c>
      <c r="CT89" s="596">
        <f t="shared" si="589"/>
        <v>0</v>
      </c>
      <c r="CU89" s="596">
        <f t="shared" si="590"/>
        <v>0</v>
      </c>
      <c r="CV89" s="596">
        <f t="shared" si="591"/>
        <v>0</v>
      </c>
      <c r="CW89" s="596">
        <f t="shared" si="592"/>
        <v>0</v>
      </c>
      <c r="CX89" s="596">
        <f t="shared" si="593"/>
        <v>0</v>
      </c>
      <c r="CY89" s="596">
        <f t="shared" si="594"/>
        <v>0</v>
      </c>
      <c r="CZ89" s="596">
        <f t="shared" si="595"/>
        <v>0</v>
      </c>
      <c r="DA89" s="596">
        <f t="shared" si="839"/>
        <v>0</v>
      </c>
      <c r="DB89" s="596">
        <f t="shared" si="839"/>
        <v>0</v>
      </c>
      <c r="DC89" s="596">
        <f t="shared" si="598"/>
        <v>0</v>
      </c>
      <c r="DD89" s="596">
        <f t="shared" si="599"/>
        <v>0</v>
      </c>
      <c r="DE89" s="602">
        <f t="shared" si="600"/>
        <v>0</v>
      </c>
      <c r="DF89" s="596"/>
      <c r="DG89" s="596">
        <f t="shared" si="601"/>
        <v>0</v>
      </c>
      <c r="DH89" s="596">
        <f t="shared" si="840"/>
        <v>0</v>
      </c>
      <c r="DI89" s="596">
        <f t="shared" si="840"/>
        <v>0</v>
      </c>
      <c r="DJ89" s="596">
        <f t="shared" si="840"/>
        <v>0</v>
      </c>
      <c r="DK89" s="596">
        <f t="shared" si="840"/>
        <v>0</v>
      </c>
      <c r="DL89" s="596">
        <f t="shared" si="840"/>
        <v>0</v>
      </c>
      <c r="DM89" s="596">
        <f t="shared" si="840"/>
        <v>0</v>
      </c>
      <c r="DN89" s="596">
        <f t="shared" si="840"/>
        <v>0</v>
      </c>
      <c r="DO89" s="596">
        <f t="shared" si="840"/>
        <v>0</v>
      </c>
      <c r="DP89" s="596">
        <f t="shared" si="609"/>
        <v>0</v>
      </c>
      <c r="DQ89" s="596">
        <f t="shared" si="610"/>
        <v>0</v>
      </c>
      <c r="DR89" s="596">
        <f t="shared" si="611"/>
        <v>0</v>
      </c>
      <c r="DS89" s="596">
        <f t="shared" si="612"/>
        <v>0</v>
      </c>
      <c r="DT89" s="596">
        <f t="shared" si="613"/>
        <v>0</v>
      </c>
      <c r="DU89" s="596">
        <f t="shared" si="614"/>
        <v>0</v>
      </c>
      <c r="DV89" s="596">
        <f t="shared" si="615"/>
        <v>0</v>
      </c>
      <c r="DW89" s="596">
        <f t="shared" si="616"/>
        <v>0</v>
      </c>
      <c r="DX89" s="596">
        <f t="shared" si="617"/>
        <v>0</v>
      </c>
      <c r="DY89" s="596">
        <f t="shared" si="841"/>
        <v>0</v>
      </c>
      <c r="DZ89" s="596">
        <f t="shared" si="841"/>
        <v>0</v>
      </c>
      <c r="EA89" s="596">
        <f t="shared" si="620"/>
        <v>0</v>
      </c>
      <c r="EB89" s="603">
        <f t="shared" si="621"/>
        <v>0</v>
      </c>
    </row>
    <row r="90" spans="1:132" s="5" customFormat="1" x14ac:dyDescent="0.25">
      <c r="A90" s="9" t="s">
        <v>54</v>
      </c>
      <c r="B90" s="9"/>
      <c r="C90" s="9"/>
      <c r="D90" s="9"/>
      <c r="E90" s="9"/>
      <c r="F90" s="9"/>
      <c r="G90" s="9"/>
      <c r="H90" s="9"/>
      <c r="I90" s="9"/>
      <c r="J90" s="2"/>
      <c r="K90" s="9"/>
      <c r="L90" s="29"/>
      <c r="M90" s="9"/>
      <c r="N90" s="9"/>
      <c r="O90" s="9"/>
      <c r="P90" s="9"/>
      <c r="Q90" s="9"/>
      <c r="R90" s="9"/>
      <c r="S90" s="9"/>
      <c r="T90" s="9"/>
      <c r="U90" s="9"/>
      <c r="V90" s="9"/>
      <c r="W90" s="9"/>
      <c r="X90" s="9"/>
      <c r="Y90" s="9"/>
      <c r="Z90" s="9"/>
      <c r="AA90" s="9"/>
      <c r="AB90" s="9"/>
      <c r="AC90" s="9"/>
      <c r="AD90" s="9"/>
      <c r="AE90" s="9"/>
      <c r="AF90" s="9"/>
      <c r="AG90" s="9"/>
      <c r="AH90" s="9"/>
      <c r="AI90" s="9"/>
      <c r="AJ90" s="40"/>
      <c r="AK90" s="25">
        <f>SUM(AK67:AK89)</f>
        <v>617.29729729729729</v>
      </c>
      <c r="AL90" s="10">
        <f t="shared" ref="AL90" si="842">SUM(AL67:AL89)</f>
        <v>1435</v>
      </c>
      <c r="AM90" s="10">
        <f t="shared" ref="AM90:BH90" si="843">SUM(AM67:AM89)</f>
        <v>5150.6306306306305</v>
      </c>
      <c r="AN90" s="10">
        <f t="shared" si="843"/>
        <v>123.45945945945947</v>
      </c>
      <c r="AO90" s="10">
        <f t="shared" ref="AO90" si="844">SUM(AO67:AO89)</f>
        <v>308.64864864864865</v>
      </c>
      <c r="AP90" s="10">
        <f t="shared" ref="AP90:AU90" si="845">SUM(AP67:AP89)</f>
        <v>123.45945945945947</v>
      </c>
      <c r="AQ90" s="10">
        <f t="shared" si="845"/>
        <v>0</v>
      </c>
      <c r="AR90" s="10">
        <f t="shared" si="845"/>
        <v>0</v>
      </c>
      <c r="AS90" s="10">
        <f t="shared" si="845"/>
        <v>0</v>
      </c>
      <c r="AT90" s="10">
        <f t="shared" si="845"/>
        <v>0</v>
      </c>
      <c r="AU90" s="10">
        <f t="shared" si="845"/>
        <v>0</v>
      </c>
      <c r="AV90" s="10">
        <f t="shared" si="843"/>
        <v>2596.8141891891892</v>
      </c>
      <c r="AW90" s="10">
        <f t="shared" si="843"/>
        <v>0</v>
      </c>
      <c r="AX90" s="10">
        <f t="shared" si="843"/>
        <v>0</v>
      </c>
      <c r="AY90" s="10">
        <f t="shared" si="843"/>
        <v>0</v>
      </c>
      <c r="AZ90" s="10">
        <f t="shared" si="843"/>
        <v>0</v>
      </c>
      <c r="BA90" s="10">
        <f t="shared" si="843"/>
        <v>0</v>
      </c>
      <c r="BB90" s="10">
        <f t="shared" si="843"/>
        <v>308.64864864864865</v>
      </c>
      <c r="BC90" s="10">
        <f t="shared" si="843"/>
        <v>0</v>
      </c>
      <c r="BD90" s="10">
        <f t="shared" si="843"/>
        <v>0</v>
      </c>
      <c r="BE90" s="10">
        <f t="shared" si="843"/>
        <v>0</v>
      </c>
      <c r="BF90" s="10">
        <f t="shared" ref="BF90" si="846">SUM(BF67:BF89)</f>
        <v>0</v>
      </c>
      <c r="BG90" s="10">
        <f t="shared" si="843"/>
        <v>0</v>
      </c>
      <c r="BH90" s="10">
        <f t="shared" si="843"/>
        <v>0</v>
      </c>
      <c r="BI90" s="25">
        <f>SUM(BI67:BI89)</f>
        <v>111.62162162162161</v>
      </c>
      <c r="BJ90" s="10">
        <f t="shared" ref="BJ90" si="847">SUM(BJ67:BJ89)</f>
        <v>358.75</v>
      </c>
      <c r="BK90" s="10">
        <f t="shared" ref="BK90:CF90" si="848">SUM(BK67:BK89)</f>
        <v>451.62162162162161</v>
      </c>
      <c r="BL90" s="10">
        <f t="shared" si="848"/>
        <v>22.324324324324326</v>
      </c>
      <c r="BM90" s="10">
        <f t="shared" ref="BM90" si="849">SUM(BM67:BM89)</f>
        <v>55.810810810810807</v>
      </c>
      <c r="BN90" s="10">
        <f t="shared" ref="BN90:BS90" si="850">SUM(BN67:BN89)</f>
        <v>22.324324324324326</v>
      </c>
      <c r="BO90" s="10">
        <f t="shared" si="850"/>
        <v>0</v>
      </c>
      <c r="BP90" s="10">
        <f t="shared" si="850"/>
        <v>0</v>
      </c>
      <c r="BQ90" s="10">
        <f t="shared" si="850"/>
        <v>0</v>
      </c>
      <c r="BR90" s="10">
        <f t="shared" si="850"/>
        <v>0</v>
      </c>
      <c r="BS90" s="10">
        <f t="shared" si="850"/>
        <v>0</v>
      </c>
      <c r="BT90" s="10">
        <f t="shared" si="848"/>
        <v>283.29898648648646</v>
      </c>
      <c r="BU90" s="10">
        <f t="shared" si="848"/>
        <v>0</v>
      </c>
      <c r="BV90" s="10">
        <f t="shared" si="848"/>
        <v>0</v>
      </c>
      <c r="BW90" s="10">
        <f t="shared" si="848"/>
        <v>0</v>
      </c>
      <c r="BX90" s="10">
        <f t="shared" si="848"/>
        <v>0</v>
      </c>
      <c r="BY90" s="10">
        <f t="shared" si="848"/>
        <v>0</v>
      </c>
      <c r="BZ90" s="10">
        <f t="shared" si="848"/>
        <v>55.810810810810807</v>
      </c>
      <c r="CA90" s="10">
        <f t="shared" si="848"/>
        <v>0</v>
      </c>
      <c r="CB90" s="10">
        <f t="shared" si="848"/>
        <v>0</v>
      </c>
      <c r="CC90" s="10">
        <f t="shared" si="848"/>
        <v>0</v>
      </c>
      <c r="CD90" s="10">
        <f t="shared" ref="CD90" si="851">SUM(CD67:CD89)</f>
        <v>0</v>
      </c>
      <c r="CE90" s="10">
        <f t="shared" si="848"/>
        <v>0</v>
      </c>
      <c r="CF90" s="10">
        <f t="shared" si="848"/>
        <v>0</v>
      </c>
      <c r="CG90" s="25">
        <f>SUM(CG67:CG89)</f>
        <v>223.24324324324323</v>
      </c>
      <c r="CH90" s="10">
        <f t="shared" ref="CH90" si="852">SUM(CH67:CH89)</f>
        <v>437.5</v>
      </c>
      <c r="CI90" s="10">
        <f t="shared" ref="CI90:DD90" si="853">SUM(CI67:CI89)</f>
        <v>903.24324324324323</v>
      </c>
      <c r="CJ90" s="10">
        <f t="shared" si="853"/>
        <v>44.648648648648653</v>
      </c>
      <c r="CK90" s="10">
        <f t="shared" ref="CK90" si="854">SUM(CK67:CK89)</f>
        <v>111.62162162162161</v>
      </c>
      <c r="CL90" s="10">
        <f t="shared" ref="CL90:CQ90" si="855">SUM(CL67:CL89)</f>
        <v>44.648648648648653</v>
      </c>
      <c r="CM90" s="10">
        <f t="shared" si="855"/>
        <v>0</v>
      </c>
      <c r="CN90" s="10">
        <f t="shared" si="855"/>
        <v>0</v>
      </c>
      <c r="CO90" s="10">
        <f t="shared" si="855"/>
        <v>0</v>
      </c>
      <c r="CP90" s="10">
        <f t="shared" si="855"/>
        <v>0</v>
      </c>
      <c r="CQ90" s="10">
        <f t="shared" si="855"/>
        <v>0</v>
      </c>
      <c r="CR90" s="10">
        <f t="shared" si="853"/>
        <v>566.59797297297291</v>
      </c>
      <c r="CS90" s="10">
        <f t="shared" si="853"/>
        <v>0</v>
      </c>
      <c r="CT90" s="295">
        <f t="shared" si="853"/>
        <v>0</v>
      </c>
      <c r="CU90" s="10">
        <f t="shared" si="853"/>
        <v>0</v>
      </c>
      <c r="CV90" s="10">
        <f t="shared" si="853"/>
        <v>0</v>
      </c>
      <c r="CW90" s="10">
        <f t="shared" si="853"/>
        <v>0</v>
      </c>
      <c r="CX90" s="10">
        <f t="shared" si="853"/>
        <v>111.62162162162161</v>
      </c>
      <c r="CY90" s="10">
        <f t="shared" si="853"/>
        <v>0</v>
      </c>
      <c r="CZ90" s="10">
        <f t="shared" si="853"/>
        <v>0</v>
      </c>
      <c r="DA90" s="10">
        <f t="shared" si="853"/>
        <v>0</v>
      </c>
      <c r="DB90" s="10">
        <f t="shared" ref="DB90" si="856">SUM(DB67:DB89)</f>
        <v>0</v>
      </c>
      <c r="DC90" s="10">
        <f t="shared" si="853"/>
        <v>0</v>
      </c>
      <c r="DD90" s="26">
        <f t="shared" si="853"/>
        <v>0</v>
      </c>
      <c r="DE90" s="10">
        <f>SUM(DE67:DE89)</f>
        <v>8.9297297297297309</v>
      </c>
      <c r="DF90" s="10"/>
      <c r="DG90" s="10">
        <f t="shared" ref="DG90:EB90" si="857">SUM(DG67:DG89)</f>
        <v>36.129729729729732</v>
      </c>
      <c r="DH90" s="10">
        <f t="shared" si="857"/>
        <v>1.7859459459459464</v>
      </c>
      <c r="DI90" s="10">
        <f t="shared" ref="DI90" si="858">SUM(DI67:DI89)</f>
        <v>4.4648648648648654</v>
      </c>
      <c r="DJ90" s="10">
        <f t="shared" ref="DJ90:DO90" si="859">SUM(DJ67:DJ89)</f>
        <v>1.7859459459459464</v>
      </c>
      <c r="DK90" s="10">
        <f t="shared" si="859"/>
        <v>0</v>
      </c>
      <c r="DL90" s="10">
        <f t="shared" si="859"/>
        <v>0</v>
      </c>
      <c r="DM90" s="10">
        <f t="shared" si="859"/>
        <v>0</v>
      </c>
      <c r="DN90" s="10">
        <f t="shared" si="859"/>
        <v>0</v>
      </c>
      <c r="DO90" s="10">
        <f t="shared" si="859"/>
        <v>0</v>
      </c>
      <c r="DP90" s="10">
        <f t="shared" si="857"/>
        <v>22.66391891891892</v>
      </c>
      <c r="DQ90" s="10">
        <f t="shared" si="857"/>
        <v>0</v>
      </c>
      <c r="DR90" s="10">
        <f t="shared" si="857"/>
        <v>0</v>
      </c>
      <c r="DS90" s="10">
        <f t="shared" si="857"/>
        <v>0</v>
      </c>
      <c r="DT90" s="10">
        <f t="shared" si="857"/>
        <v>0</v>
      </c>
      <c r="DU90" s="10">
        <f t="shared" si="857"/>
        <v>0</v>
      </c>
      <c r="DV90" s="10">
        <f t="shared" si="857"/>
        <v>4.4648648648648654</v>
      </c>
      <c r="DW90" s="10">
        <f t="shared" si="857"/>
        <v>0</v>
      </c>
      <c r="DX90" s="10">
        <f t="shared" si="857"/>
        <v>0</v>
      </c>
      <c r="DY90" s="10">
        <f t="shared" si="857"/>
        <v>0</v>
      </c>
      <c r="DZ90" s="10">
        <f t="shared" ref="DZ90" si="860">SUM(DZ67:DZ89)</f>
        <v>0</v>
      </c>
      <c r="EA90" s="10">
        <f t="shared" si="857"/>
        <v>0</v>
      </c>
      <c r="EB90" s="26">
        <f t="shared" si="857"/>
        <v>0</v>
      </c>
    </row>
    <row r="91" spans="1:132" x14ac:dyDescent="0.25">
      <c r="A91" s="15"/>
      <c r="B91" s="31"/>
      <c r="C91" s="31"/>
      <c r="D91" s="31"/>
      <c r="E91" s="31"/>
      <c r="F91" s="31"/>
      <c r="G91" s="31"/>
      <c r="H91" s="31"/>
      <c r="I91" s="31"/>
      <c r="J91" s="31"/>
      <c r="K91" s="31"/>
      <c r="L91" s="15"/>
      <c r="M91" s="31"/>
      <c r="N91" s="31"/>
      <c r="O91" s="31"/>
      <c r="P91" s="31"/>
      <c r="Q91" s="31"/>
      <c r="R91" s="31"/>
      <c r="S91" s="31"/>
      <c r="T91" s="31"/>
      <c r="U91" s="31"/>
      <c r="V91" s="31"/>
      <c r="W91" s="31"/>
      <c r="X91" s="31"/>
      <c r="AJ91" s="41"/>
      <c r="AK91" s="34"/>
      <c r="AL91" s="1"/>
      <c r="AM91" s="1"/>
      <c r="AN91" s="1"/>
      <c r="AO91" s="1"/>
      <c r="AP91" s="1"/>
      <c r="AQ91" s="1"/>
      <c r="AR91" s="1"/>
      <c r="AS91" s="1"/>
      <c r="AT91" s="1"/>
      <c r="AU91" s="1"/>
      <c r="AV91" s="1"/>
      <c r="AW91" s="1"/>
      <c r="AX91" s="1"/>
      <c r="AY91" s="1"/>
      <c r="AZ91" s="1"/>
      <c r="BA91" s="1"/>
      <c r="BB91" s="1"/>
      <c r="BC91" s="1"/>
      <c r="BD91" s="1"/>
      <c r="BE91" s="1"/>
      <c r="BF91" s="1"/>
      <c r="BG91" s="1"/>
      <c r="BH91" s="35"/>
      <c r="BI91" s="34"/>
      <c r="BJ91" s="1"/>
      <c r="BK91" s="1"/>
      <c r="BL91" s="1"/>
      <c r="BM91" s="1"/>
      <c r="BN91" s="1"/>
      <c r="BO91" s="1"/>
      <c r="BP91" s="1"/>
      <c r="BQ91" s="1"/>
      <c r="BR91" s="1"/>
      <c r="BS91" s="1"/>
      <c r="BT91" s="1"/>
      <c r="BU91" s="1"/>
      <c r="BV91" s="1"/>
      <c r="BW91" s="1"/>
      <c r="BX91" s="1"/>
      <c r="BY91" s="1"/>
      <c r="BZ91" s="1"/>
      <c r="CA91" s="1"/>
      <c r="CB91" s="1"/>
      <c r="CC91" s="1"/>
      <c r="CD91" s="1"/>
      <c r="CE91" s="1"/>
      <c r="CF91" s="35"/>
      <c r="CG91" s="34"/>
      <c r="CH91" s="1"/>
      <c r="CI91" s="1"/>
      <c r="CJ91" s="1"/>
      <c r="CK91" s="1"/>
      <c r="CL91" s="1"/>
      <c r="CM91" s="1"/>
      <c r="CN91" s="1"/>
      <c r="CO91" s="1"/>
      <c r="CP91" s="1"/>
      <c r="CQ91" s="1"/>
      <c r="CR91" s="1"/>
      <c r="CS91" s="1"/>
      <c r="CT91" s="35"/>
      <c r="CU91" s="1"/>
      <c r="CV91" s="1"/>
      <c r="CW91" s="1"/>
      <c r="CX91" s="1"/>
      <c r="CY91" s="1"/>
      <c r="CZ91" s="1"/>
      <c r="DA91" s="1"/>
      <c r="DB91" s="1"/>
      <c r="DC91" s="1"/>
      <c r="DD91" s="36"/>
      <c r="DE91" s="1"/>
      <c r="DF91" s="1"/>
      <c r="DG91" s="1"/>
      <c r="DH91" s="1"/>
      <c r="DI91" s="1"/>
      <c r="DJ91" s="1"/>
      <c r="DK91" s="1"/>
      <c r="DL91" s="1"/>
      <c r="DM91" s="1"/>
      <c r="DN91" s="1"/>
      <c r="DO91" s="1"/>
      <c r="DP91" s="1"/>
      <c r="DQ91" s="1"/>
      <c r="DR91" s="1"/>
      <c r="DS91" s="1"/>
      <c r="DT91" s="1"/>
      <c r="DU91" s="1"/>
    </row>
    <row r="92" spans="1:132" ht="13.8" thickBot="1" x14ac:dyDescent="0.3">
      <c r="A92" s="17"/>
      <c r="H92" s="419"/>
      <c r="J92" s="419"/>
      <c r="K92" s="420"/>
      <c r="L92" s="17"/>
      <c r="AJ92" s="39"/>
      <c r="AK92" s="23"/>
      <c r="AL92" s="1"/>
      <c r="AM92" s="1"/>
      <c r="AN92" s="1"/>
      <c r="AO92" s="1"/>
      <c r="AP92" s="1"/>
      <c r="AQ92" s="1"/>
      <c r="AR92" s="1"/>
      <c r="AS92" s="1"/>
      <c r="AT92" s="1"/>
      <c r="AU92" s="1"/>
      <c r="AV92" s="1"/>
      <c r="AW92" s="1"/>
      <c r="AX92" s="1"/>
      <c r="AY92" s="1"/>
      <c r="AZ92" s="1"/>
      <c r="BA92" s="1"/>
      <c r="BB92" s="1"/>
      <c r="BC92" s="1"/>
      <c r="BD92" s="1"/>
      <c r="BE92" s="1"/>
      <c r="BF92" s="1"/>
      <c r="BG92" s="1"/>
      <c r="BH92" s="1"/>
      <c r="BI92" s="23"/>
      <c r="BJ92" s="1"/>
      <c r="BK92" s="1"/>
      <c r="BL92" s="1"/>
      <c r="BM92" s="1"/>
      <c r="BN92" s="1"/>
      <c r="BO92" s="1"/>
      <c r="BP92" s="1"/>
      <c r="BQ92" s="1"/>
      <c r="BR92" s="1"/>
      <c r="BS92" s="1"/>
      <c r="BT92" s="1"/>
      <c r="BU92" s="1"/>
      <c r="BV92" s="1"/>
      <c r="BW92" s="1"/>
      <c r="BX92" s="1"/>
      <c r="BY92" s="1"/>
      <c r="BZ92" s="1"/>
      <c r="CA92" s="1"/>
      <c r="CB92" s="1"/>
      <c r="CC92" s="1"/>
      <c r="CD92" s="1"/>
      <c r="CE92" s="1"/>
      <c r="CF92" s="1"/>
      <c r="CG92" s="23"/>
      <c r="CH92" s="1"/>
      <c r="CI92" s="1"/>
      <c r="CJ92" s="1"/>
      <c r="CK92" s="1"/>
      <c r="CL92" s="1"/>
      <c r="CM92" s="1"/>
      <c r="CN92" s="1"/>
      <c r="CO92" s="1"/>
      <c r="CP92" s="1"/>
      <c r="CQ92" s="1"/>
      <c r="CR92" s="1"/>
      <c r="CS92" s="1"/>
      <c r="CT92" s="1"/>
      <c r="CU92" s="1"/>
      <c r="CV92" s="1"/>
      <c r="CW92" s="1"/>
      <c r="CX92" s="1"/>
      <c r="CY92" s="1"/>
      <c r="CZ92" s="1"/>
      <c r="DA92" s="1"/>
      <c r="DB92" s="1"/>
      <c r="DC92" s="1"/>
      <c r="DD92" s="24"/>
      <c r="DE92" s="1"/>
      <c r="DF92" s="1"/>
      <c r="DG92" s="1"/>
      <c r="DH92" s="1"/>
      <c r="DI92" s="1"/>
      <c r="DJ92" s="1"/>
      <c r="DK92" s="1"/>
      <c r="DL92" s="1"/>
      <c r="DM92" s="1"/>
      <c r="DN92" s="1"/>
      <c r="DO92" s="1"/>
      <c r="DP92" s="1"/>
      <c r="DQ92" s="1"/>
      <c r="DR92" s="1"/>
      <c r="DS92" s="1"/>
      <c r="DT92" s="1"/>
      <c r="DU92" s="1"/>
    </row>
    <row r="93" spans="1:132" ht="13.8" thickBot="1" x14ac:dyDescent="0.3">
      <c r="A93" s="32" t="s">
        <v>139</v>
      </c>
      <c r="B93" s="2"/>
      <c r="C93" s="433">
        <f>'Gårdens info'!D143</f>
        <v>3000</v>
      </c>
      <c r="D93" s="1009" t="s">
        <v>57</v>
      </c>
      <c r="E93" s="433">
        <f>'Gårdens info'!J143</f>
        <v>1975</v>
      </c>
      <c r="F93" s="427">
        <f>'Gårdens info'!G143</f>
        <v>20</v>
      </c>
      <c r="G93" s="1010" t="s">
        <v>7</v>
      </c>
      <c r="H93" s="417">
        <v>40</v>
      </c>
      <c r="I93" s="2">
        <f>C93*F93</f>
        <v>60000</v>
      </c>
      <c r="J93" s="417">
        <v>0</v>
      </c>
      <c r="K93" s="418">
        <v>0.01</v>
      </c>
      <c r="L93" s="409">
        <f>'Gårdens info'!$D$12/('Gårdens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M93" s="409">
        <f>'Gårdens info'!$D$9/('Gårdens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N93" s="409">
        <f>'Gårdens info'!$D$13/('Gårdens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0.21276595744680851</v>
      </c>
      <c r="O93" s="409">
        <f>'Gårdens info'!$D$14/('Gårdens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P93" s="409">
        <f>'Gårdens info'!$D$15/('Gårdens info'!$D$9+'Gårdens info'!$D$12+'Gårdens info'!$D$13+'Gårdens info'!$D$14+'Gårdens info'!$D$15+ 'Gårdens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0.10638297872340426</v>
      </c>
      <c r="Q93" s="409">
        <f>'Gårdens info'!$D$16/('Gårdens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4.2553191489361701E-2</v>
      </c>
      <c r="R93" s="409">
        <f>'Gårdens info'!$D$17/('Gårdens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S93" s="409">
        <f>'Gårdens info'!$D$18/('Gårdens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T93" s="409">
        <f>'Gårdens info'!$D$19/('Gårdens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U93" s="409">
        <f>'Gårdens info'!$D$20/('Gårdens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V93" s="409">
        <f>'Gårdens info'!$D$21/('Gårdens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W93" s="409">
        <f>'Gårdens info'!$D$28/('Gårdens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6.3829787234042548E-2</v>
      </c>
      <c r="X93" s="409">
        <f>'Gårdens info'!$D$29/('Gårdens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Y93" s="409">
        <f>'Gårdens info'!$D$30/('Gårdens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Z93" s="409">
        <f>'Gårdens info'!$D$31/('Gårdens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A93" s="409">
        <f>'Gårdens info'!$D$32/('Gårdens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B93" s="409">
        <f>'Gårdens info'!$D$33/('Gårdens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C93" s="409">
        <f>'Gårdens info'!$D$34/('Gårdens info'!$D$9+'Gårdens info'!$D$12+'Gårdens info'!$D$13+'Gårdens info'!$D$14+'Gårdens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0.11904761904761904</v>
      </c>
      <c r="AD93" s="409">
        <f>'Gårdens info'!$D$37/('Gårdens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E93" s="409">
        <f>'Gårdens info'!$D$38/('Gårdens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F93" s="409">
        <f>'Gårdens info'!$D$39/('Gårdens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G93" s="409">
        <f>'Gårdens info'!$D$40/('Gårdens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H93" s="409">
        <f>'Gårdens info'!$D$41/('Gårdens info'!$D$9+'Gårdens info'!$D$12+'Gårdens info'!$D$13+'Gårdens info'!$D$14+'Gårdens info'!$D$15+'Gårdens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I93" s="409">
        <f>'Gårdens info'!$D$42/('Gårdens info'!$D$9+'Gårdens info'!$D$12+'Gårdens info'!$D$13+'Gårdens info'!$D$14+'Gårdens info'!$D$16+'Gårdens info'!$D$17+'Gårdens info'!$D$18+'Gårdens info'!$D$19+'Gårdens info'!$D$20+'Gårdens info'!$D$21+'Gårdens info'!$D$28+'Gårdens info'!$D$29+'Gårdens info'!$D$30+'Gårdens info'!$D$31+'Gårdens info'!$D$32+'Gårdens info'!$D$33+'Gårdens info'!$D$34+'Gårdens info'!$D$37+'Gårdens info'!$D$38+'Gårdens info'!$D$39+'Gårdens info'!$D$40+'Gårdens info'!$D$41+'Gårdens info'!$D$42)</f>
        <v>0</v>
      </c>
      <c r="AJ93" s="412">
        <f>+SUM(L93:AI93)</f>
        <v>1.0126646403242148</v>
      </c>
      <c r="AK93" s="27">
        <f t="shared" ref="AK93:AP93" si="861">IF((($C$7-$E93)&lt;=$H93),(($I93-$J93)/$H93*L93),0)</f>
        <v>0</v>
      </c>
      <c r="AL93" s="3">
        <f t="shared" si="861"/>
        <v>0</v>
      </c>
      <c r="AM93" s="3">
        <f t="shared" si="861"/>
        <v>0</v>
      </c>
      <c r="AN93" s="3">
        <f t="shared" si="861"/>
        <v>0</v>
      </c>
      <c r="AO93" s="3">
        <f t="shared" si="861"/>
        <v>0</v>
      </c>
      <c r="AP93" s="3">
        <f t="shared" si="861"/>
        <v>0</v>
      </c>
      <c r="AQ93" s="3">
        <f t="shared" ref="AQ93:AU93" si="862">IF((($C$7-$E93)&lt;=$H93),(($I93-$J93)/$H93*R93),0)</f>
        <v>0</v>
      </c>
      <c r="AR93" s="3">
        <f t="shared" si="862"/>
        <v>0</v>
      </c>
      <c r="AS93" s="3">
        <f t="shared" si="862"/>
        <v>0</v>
      </c>
      <c r="AT93" s="3">
        <f t="shared" si="862"/>
        <v>0</v>
      </c>
      <c r="AU93" s="3">
        <f t="shared" si="862"/>
        <v>0</v>
      </c>
      <c r="AV93" s="3">
        <f t="shared" ref="AV93:BF93" si="863">IF((($C$7-$E93)&lt;=$H93),(($I93-$J93)/$H93*W93),0)</f>
        <v>0</v>
      </c>
      <c r="AW93" s="3">
        <f t="shared" si="863"/>
        <v>0</v>
      </c>
      <c r="AX93" s="3">
        <f t="shared" si="863"/>
        <v>0</v>
      </c>
      <c r="AY93" s="3">
        <f t="shared" si="863"/>
        <v>0</v>
      </c>
      <c r="AZ93" s="3">
        <f t="shared" si="863"/>
        <v>0</v>
      </c>
      <c r="BA93" s="3">
        <f t="shared" si="863"/>
        <v>0</v>
      </c>
      <c r="BB93" s="3">
        <f t="shared" si="863"/>
        <v>0</v>
      </c>
      <c r="BC93" s="3">
        <f t="shared" si="863"/>
        <v>0</v>
      </c>
      <c r="BD93" s="3">
        <f t="shared" si="863"/>
        <v>0</v>
      </c>
      <c r="BE93" s="3">
        <f t="shared" si="863"/>
        <v>0</v>
      </c>
      <c r="BF93" s="3">
        <f t="shared" si="863"/>
        <v>0</v>
      </c>
      <c r="BG93" s="3">
        <f t="shared" ref="BG93:BH93" si="864">IF((($C$7-$E93)&lt;=$H93),(($I93-$J93)/$H93*AH93),0)</f>
        <v>0</v>
      </c>
      <c r="BH93" s="3">
        <f t="shared" si="864"/>
        <v>0</v>
      </c>
      <c r="BI93" s="27">
        <f t="shared" ref="BI93:BN93" si="865">IF(($C$7-$E93&lt;=$H93),(($I93+$J93)/2*$C$8*L93),0)</f>
        <v>0</v>
      </c>
      <c r="BJ93" s="3">
        <f t="shared" si="865"/>
        <v>0</v>
      </c>
      <c r="BK93" s="3">
        <f t="shared" si="865"/>
        <v>0</v>
      </c>
      <c r="BL93" s="3">
        <f t="shared" si="865"/>
        <v>0</v>
      </c>
      <c r="BM93" s="3">
        <f t="shared" si="865"/>
        <v>0</v>
      </c>
      <c r="BN93" s="3">
        <f t="shared" si="865"/>
        <v>0</v>
      </c>
      <c r="BO93" s="3">
        <f t="shared" ref="BO93:BS93" si="866">IF(($C$7-$E93&lt;=$H93),(($I93+$J93)/2*$C$8*R93),0)</f>
        <v>0</v>
      </c>
      <c r="BP93" s="3">
        <f t="shared" si="866"/>
        <v>0</v>
      </c>
      <c r="BQ93" s="3">
        <f t="shared" si="866"/>
        <v>0</v>
      </c>
      <c r="BR93" s="3">
        <f t="shared" si="866"/>
        <v>0</v>
      </c>
      <c r="BS93" s="3">
        <f t="shared" si="866"/>
        <v>0</v>
      </c>
      <c r="BT93" s="3">
        <f t="shared" ref="BT93:CD93" si="867">IF(($C$7-$E93&lt;=$H93),(($I93+$J93)/2*$C$8*W93),0)</f>
        <v>0</v>
      </c>
      <c r="BU93" s="3">
        <f t="shared" si="867"/>
        <v>0</v>
      </c>
      <c r="BV93" s="3">
        <f t="shared" si="867"/>
        <v>0</v>
      </c>
      <c r="BW93" s="3">
        <f t="shared" si="867"/>
        <v>0</v>
      </c>
      <c r="BX93" s="3">
        <f t="shared" si="867"/>
        <v>0</v>
      </c>
      <c r="BY93" s="3">
        <f t="shared" si="867"/>
        <v>0</v>
      </c>
      <c r="BZ93" s="3">
        <f t="shared" si="867"/>
        <v>0</v>
      </c>
      <c r="CA93" s="3">
        <f t="shared" si="867"/>
        <v>0</v>
      </c>
      <c r="CB93" s="3">
        <f t="shared" si="867"/>
        <v>0</v>
      </c>
      <c r="CC93" s="3">
        <f t="shared" si="867"/>
        <v>0</v>
      </c>
      <c r="CD93" s="3">
        <f t="shared" si="867"/>
        <v>0</v>
      </c>
      <c r="CE93" s="3">
        <f t="shared" ref="CE93:CF93" si="868">IF(($C$7-$E93&lt;=$H93),(($I93+$J93)/2*$C$8*AH93),0)</f>
        <v>0</v>
      </c>
      <c r="CF93" s="3">
        <f t="shared" si="868"/>
        <v>0</v>
      </c>
      <c r="CG93" s="27">
        <f t="shared" ref="CG93:CL93" si="869">$I93*$K93*L93</f>
        <v>127.65957446808511</v>
      </c>
      <c r="CH93" s="3">
        <f t="shared" si="869"/>
        <v>127.65957446808511</v>
      </c>
      <c r="CI93" s="3">
        <f t="shared" si="869"/>
        <v>127.65957446808511</v>
      </c>
      <c r="CJ93" s="3">
        <f t="shared" si="869"/>
        <v>25.531914893617021</v>
      </c>
      <c r="CK93" s="3">
        <f t="shared" si="869"/>
        <v>63.829787234042556</v>
      </c>
      <c r="CL93" s="3">
        <f t="shared" si="869"/>
        <v>25.531914893617021</v>
      </c>
      <c r="CM93" s="3">
        <f t="shared" ref="CM93:CQ93" si="870">$I93*$K93*R93</f>
        <v>0</v>
      </c>
      <c r="CN93" s="3">
        <f t="shared" si="870"/>
        <v>0</v>
      </c>
      <c r="CO93" s="3">
        <f t="shared" si="870"/>
        <v>0</v>
      </c>
      <c r="CP93" s="3">
        <f t="shared" si="870"/>
        <v>0</v>
      </c>
      <c r="CQ93" s="3">
        <f t="shared" si="870"/>
        <v>0</v>
      </c>
      <c r="CR93" s="3">
        <f t="shared" ref="CR93:CY93" si="871">$I93*$K93*W93</f>
        <v>38.297872340425528</v>
      </c>
      <c r="CS93" s="3">
        <f t="shared" si="871"/>
        <v>0</v>
      </c>
      <c r="CT93" s="3">
        <f t="shared" si="871"/>
        <v>0</v>
      </c>
      <c r="CU93" s="3">
        <f t="shared" si="871"/>
        <v>0</v>
      </c>
      <c r="CV93" s="3">
        <f t="shared" si="871"/>
        <v>0</v>
      </c>
      <c r="CW93" s="3">
        <f t="shared" si="871"/>
        <v>0</v>
      </c>
      <c r="CX93" s="3">
        <f t="shared" si="871"/>
        <v>71.428571428571431</v>
      </c>
      <c r="CY93" s="3">
        <f t="shared" si="871"/>
        <v>0</v>
      </c>
      <c r="CZ93" s="3">
        <f t="shared" ref="CZ93" si="872">$I93*$K93*AE93</f>
        <v>0</v>
      </c>
      <c r="DA93" s="3">
        <f t="shared" ref="DA93:DB93" si="873">$I93*$K93*AF93</f>
        <v>0</v>
      </c>
      <c r="DB93" s="3">
        <f t="shared" si="873"/>
        <v>0</v>
      </c>
      <c r="DC93" s="3">
        <f t="shared" ref="DC93" si="874">$I93*$K93*AH93</f>
        <v>0</v>
      </c>
      <c r="DD93" s="28">
        <f t="shared" ref="DD93" si="875">$I93*$K93*AI93</f>
        <v>0</v>
      </c>
      <c r="DE93" s="1"/>
      <c r="DF93" s="1"/>
      <c r="DG93" s="33" t="s">
        <v>897</v>
      </c>
      <c r="DH93" s="1"/>
      <c r="DI93" s="1"/>
      <c r="DJ93" s="1"/>
      <c r="DK93" s="1"/>
      <c r="DL93" s="1"/>
      <c r="DM93" s="1"/>
      <c r="DN93" s="1"/>
      <c r="DO93" s="1"/>
      <c r="DP93" s="1"/>
      <c r="DQ93" s="1"/>
      <c r="DR93" s="1"/>
      <c r="DS93" s="1"/>
      <c r="DT93" s="1"/>
      <c r="DU93" s="1"/>
    </row>
    <row r="94" spans="1:132" x14ac:dyDescent="0.25">
      <c r="DE94" s="1"/>
      <c r="DF94" s="1"/>
      <c r="DG94" s="1"/>
      <c r="DH94" s="1"/>
      <c r="DI94" s="1"/>
      <c r="DJ94" s="1"/>
      <c r="DK94" s="1"/>
      <c r="DL94" s="1"/>
      <c r="DM94" s="1"/>
      <c r="DN94" s="1"/>
      <c r="DO94" s="1"/>
      <c r="DP94" s="1"/>
      <c r="DQ94" s="1"/>
      <c r="DR94" s="1"/>
      <c r="DS94" s="1"/>
      <c r="DT94" s="1"/>
      <c r="DU94" s="1"/>
    </row>
  </sheetData>
  <mergeCells count="6">
    <mergeCell ref="DE11:EB11"/>
    <mergeCell ref="L11:AI11"/>
    <mergeCell ref="AK11:BH11"/>
    <mergeCell ref="A3:B3"/>
    <mergeCell ref="BI11:CF11"/>
    <mergeCell ref="CG11:DD11"/>
  </mergeCells>
  <phoneticPr fontId="2" type="noConversion"/>
  <hyperlinks>
    <hyperlink ref="A3:B3" location="'Gårdens info'!A1" display="TILL FRAMSIDAN" xr:uid="{12F160D3-2546-3942-A0EE-D05F06C704F3}"/>
    <hyperlink ref="W12" location="'Avomaan mansikka'!A1" display="AVOMAAN MANSIKKA" xr:uid="{613BB0BB-51DB-754A-91BE-9C8FC54DAC54}"/>
    <hyperlink ref="AV12" location="'Avomaan mansikka'!A1" display="AVOMAAN MANSIKKA" xr:uid="{A78C3BCC-02F8-42BA-B693-923C28D39EA6}"/>
    <hyperlink ref="BT12" location="'Avomaan mansikka'!A1" display="AVOMAAN MANSIKKA" xr:uid="{9CAAF84C-6BEC-44CC-97F2-87BD4B2F98C1}"/>
    <hyperlink ref="CR12" location="'Avomaan mansikka'!A1" display="AVOMAAN MANSIKKA" xr:uid="{34668921-4D66-4E48-88D7-7CF1B5A38E1F}"/>
    <hyperlink ref="DP12" location="'Avomaan mansikka'!A1" display="AVOMAAN MANSIKKA" xr:uid="{B23C7F29-7AD0-41C3-B5D7-F56AC199AC9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D82C-250B-6B41-AD72-CC6B015DA9CA}">
  <dimension ref="A1:V19"/>
  <sheetViews>
    <sheetView zoomScale="74" zoomScaleNormal="110" workbookViewId="0">
      <selection activeCell="I11" sqref="I11"/>
    </sheetView>
  </sheetViews>
  <sheetFormatPr defaultColWidth="11.44140625" defaultRowHeight="13.2" x14ac:dyDescent="0.25"/>
  <cols>
    <col min="1" max="1" width="7" style="109" customWidth="1"/>
    <col min="2" max="2" width="70.6640625" customWidth="1"/>
    <col min="3" max="3" width="16.33203125" customWidth="1"/>
    <col min="4" max="4" width="5.6640625" bestFit="1" customWidth="1"/>
    <col min="5" max="5" width="7.6640625" customWidth="1"/>
    <col min="6" max="6" width="15" customWidth="1"/>
    <col min="7" max="7" width="5.6640625" bestFit="1" customWidth="1"/>
    <col min="8" max="8" width="5.6640625" customWidth="1"/>
    <col min="9" max="9" width="20.6640625" customWidth="1"/>
    <col min="10" max="10" width="23.33203125" customWidth="1"/>
    <col min="12" max="13" width="11.44140625" style="107"/>
    <col min="14" max="14" width="14.6640625" customWidth="1"/>
  </cols>
  <sheetData>
    <row r="1" spans="2:22" s="109" customFormat="1" ht="30" customHeight="1" x14ac:dyDescent="0.4">
      <c r="B1" s="132" t="s">
        <v>59</v>
      </c>
      <c r="L1" s="666"/>
      <c r="M1" s="666"/>
    </row>
    <row r="2" spans="2:22" ht="25.2" customHeight="1" x14ac:dyDescent="0.3">
      <c r="B2" s="1094" t="s">
        <v>201</v>
      </c>
      <c r="C2" s="1094"/>
      <c r="D2" s="189"/>
      <c r="E2" s="189"/>
    </row>
    <row r="3" spans="2:22" ht="28.2" customHeight="1" x14ac:dyDescent="0.25">
      <c r="L3" s="690"/>
      <c r="M3" s="690"/>
      <c r="N3" s="690"/>
      <c r="O3" s="690"/>
      <c r="P3" s="690"/>
      <c r="Q3" s="690" t="s">
        <v>898</v>
      </c>
      <c r="R3" s="690"/>
      <c r="S3" s="690"/>
      <c r="T3" s="690"/>
      <c r="U3" s="1011"/>
      <c r="V3" s="1011"/>
    </row>
    <row r="4" spans="2:22" ht="17.399999999999999" customHeight="1" x14ac:dyDescent="0.3">
      <c r="B4" s="58"/>
      <c r="C4" s="1169" t="s">
        <v>899</v>
      </c>
      <c r="D4" s="1169"/>
      <c r="E4" s="1169"/>
      <c r="F4" s="1169"/>
      <c r="G4" s="331"/>
      <c r="H4" s="331"/>
      <c r="I4" s="1170" t="s">
        <v>900</v>
      </c>
      <c r="J4" s="1170" t="s">
        <v>901</v>
      </c>
      <c r="K4" s="364"/>
      <c r="L4" s="690"/>
      <c r="M4" s="690"/>
      <c r="N4" s="690"/>
      <c r="O4" s="690"/>
      <c r="P4" s="690"/>
      <c r="Q4" s="690" t="s">
        <v>63</v>
      </c>
      <c r="R4" s="690" t="s">
        <v>65</v>
      </c>
      <c r="S4" s="690" t="s">
        <v>902</v>
      </c>
      <c r="T4" s="690"/>
      <c r="U4" s="1011"/>
      <c r="V4" s="1011"/>
    </row>
    <row r="5" spans="2:22" ht="49.95" customHeight="1" thickBot="1" x14ac:dyDescent="0.35">
      <c r="B5" s="102" t="s">
        <v>903</v>
      </c>
      <c r="C5" s="103" t="s">
        <v>63</v>
      </c>
      <c r="D5" s="103"/>
      <c r="E5" s="103"/>
      <c r="F5" s="103" t="s">
        <v>904</v>
      </c>
      <c r="G5" s="103"/>
      <c r="H5" s="332"/>
      <c r="I5" s="1171"/>
      <c r="J5" s="1171"/>
      <c r="K5" s="366"/>
      <c r="L5" s="690"/>
      <c r="M5" s="690"/>
      <c r="N5" s="690"/>
      <c r="O5" s="690"/>
      <c r="P5" s="690"/>
      <c r="Q5" s="690" t="s">
        <v>904</v>
      </c>
      <c r="R5" s="690" t="s">
        <v>905</v>
      </c>
      <c r="S5" s="690" t="s">
        <v>906</v>
      </c>
      <c r="T5" s="690"/>
      <c r="U5" s="1011"/>
      <c r="V5" s="1011"/>
    </row>
    <row r="6" spans="2:22" ht="17.399999999999999" x14ac:dyDescent="0.3">
      <c r="B6" s="106" t="s">
        <v>907</v>
      </c>
      <c r="C6" s="104">
        <v>137.35</v>
      </c>
      <c r="D6" s="104" t="s">
        <v>57</v>
      </c>
      <c r="E6" s="104"/>
      <c r="F6" s="104">
        <v>117.55</v>
      </c>
      <c r="G6" s="104" t="s">
        <v>57</v>
      </c>
      <c r="H6" s="104"/>
      <c r="I6" s="108" t="s">
        <v>902</v>
      </c>
      <c r="J6" s="108">
        <f>'Gårdens info'!D49</f>
        <v>47</v>
      </c>
      <c r="K6" s="365" t="s">
        <v>7</v>
      </c>
      <c r="L6" s="690" cm="1">
        <f t="array" ref="L6:M6">IF(I6="Ja",IF('Gårdens info'!$G$56:$H$56="AB",Stöd!C6,Stöd!F6),0)</f>
        <v>137.35</v>
      </c>
      <c r="M6" s="690">
        <v>117.55</v>
      </c>
      <c r="N6" s="690"/>
      <c r="O6" s="690"/>
      <c r="P6" s="690"/>
      <c r="Q6" s="690"/>
      <c r="R6" s="690"/>
      <c r="S6" s="690"/>
      <c r="T6" s="690"/>
      <c r="U6" s="1011"/>
      <c r="V6" s="1011"/>
    </row>
    <row r="7" spans="2:22" ht="17.399999999999999" x14ac:dyDescent="0.3">
      <c r="B7" s="106" t="s">
        <v>908</v>
      </c>
      <c r="C7" s="104">
        <v>217</v>
      </c>
      <c r="D7" s="104" t="s">
        <v>57</v>
      </c>
      <c r="E7" s="104"/>
      <c r="F7" s="104">
        <v>242</v>
      </c>
      <c r="G7" s="104" t="s">
        <v>57</v>
      </c>
      <c r="H7" s="104"/>
      <c r="I7" s="108" t="s">
        <v>902</v>
      </c>
      <c r="J7" s="108">
        <f>J6</f>
        <v>47</v>
      </c>
      <c r="K7" s="365" t="s">
        <v>7</v>
      </c>
      <c r="L7" s="690" cm="1">
        <f t="array" ref="L7:M7">IF(I7="Ja",IF('Gårdens info'!$G$56:$H$56="AB",Stöd!C7,Stöd!F7),0)</f>
        <v>217</v>
      </c>
      <c r="M7" s="690">
        <v>242</v>
      </c>
      <c r="N7" s="690"/>
      <c r="O7" s="690"/>
      <c r="P7" s="690"/>
      <c r="Q7" s="690"/>
      <c r="R7" s="690"/>
      <c r="S7" s="690"/>
      <c r="T7" s="690"/>
      <c r="U7" s="1011"/>
      <c r="V7" s="1011"/>
    </row>
    <row r="8" spans="2:22" ht="17.399999999999999" x14ac:dyDescent="0.3">
      <c r="B8" s="106" t="s">
        <v>909</v>
      </c>
      <c r="C8" s="104">
        <v>19.75</v>
      </c>
      <c r="D8" s="104" t="s">
        <v>57</v>
      </c>
      <c r="E8" s="104"/>
      <c r="F8" s="104">
        <v>19.75</v>
      </c>
      <c r="G8" s="104" t="s">
        <v>57</v>
      </c>
      <c r="H8" s="104"/>
      <c r="I8" s="108" t="s">
        <v>902</v>
      </c>
      <c r="J8" s="108">
        <f>J7</f>
        <v>47</v>
      </c>
      <c r="K8" s="365" t="s">
        <v>7</v>
      </c>
      <c r="L8" s="690" cm="1">
        <f t="array" ref="L8:M8">IF(I8="Ja",IF('Gårdens info'!$G$56:$H$56="AB",Stöd!C8,Stöd!F8),0)</f>
        <v>19.75</v>
      </c>
      <c r="M8" s="690">
        <v>19.75</v>
      </c>
      <c r="N8" s="690"/>
      <c r="O8" s="690"/>
      <c r="P8" s="690"/>
      <c r="Q8" s="690"/>
      <c r="R8" s="690"/>
      <c r="S8" s="690"/>
      <c r="T8" s="690"/>
      <c r="U8" s="1011"/>
      <c r="V8" s="1011"/>
    </row>
    <row r="9" spans="2:22" ht="17.399999999999999" x14ac:dyDescent="0.3">
      <c r="B9" s="106" t="s">
        <v>910</v>
      </c>
      <c r="C9" s="104">
        <v>45</v>
      </c>
      <c r="D9" s="104" t="s">
        <v>57</v>
      </c>
      <c r="E9" s="104"/>
      <c r="F9" s="104">
        <v>45</v>
      </c>
      <c r="G9" s="104" t="s">
        <v>57</v>
      </c>
      <c r="H9" s="104"/>
      <c r="I9" s="108" t="s">
        <v>902</v>
      </c>
      <c r="J9" s="108">
        <f>J8</f>
        <v>47</v>
      </c>
      <c r="K9" s="365" t="s">
        <v>7</v>
      </c>
      <c r="L9" s="690" cm="1">
        <f t="array" ref="L9:M9">IF(I9="Ja",IF('Gårdens info'!$G$56:$H$56="AB",Stöd!C9,Stöd!F9),0)</f>
        <v>45</v>
      </c>
      <c r="M9" s="690">
        <v>45</v>
      </c>
      <c r="N9" s="690"/>
      <c r="O9" s="690"/>
      <c r="P9" s="690"/>
      <c r="Q9" s="690"/>
      <c r="R9" s="690"/>
      <c r="S9" s="690"/>
      <c r="T9" s="690"/>
      <c r="U9" s="1011"/>
      <c r="V9" s="1011"/>
    </row>
    <row r="10" spans="2:22" ht="17.399999999999999" x14ac:dyDescent="0.3">
      <c r="B10" s="106" t="s">
        <v>911</v>
      </c>
      <c r="C10" s="104">
        <v>113</v>
      </c>
      <c r="D10" s="104" t="s">
        <v>57</v>
      </c>
      <c r="E10" s="104"/>
      <c r="F10" s="104">
        <v>113</v>
      </c>
      <c r="G10" s="104" t="s">
        <v>57</v>
      </c>
      <c r="H10" s="104"/>
      <c r="I10" s="108" t="s">
        <v>902</v>
      </c>
      <c r="J10" s="108">
        <f>J9</f>
        <v>47</v>
      </c>
      <c r="K10" s="365" t="s">
        <v>7</v>
      </c>
      <c r="L10" s="690" cm="1">
        <f t="array" ref="L10:M10">IF(I10="Ja",IF('Gårdens info'!$G$56:$H$56="AB",Stöd!C10,Stöd!F10),0)</f>
        <v>113</v>
      </c>
      <c r="M10" s="690">
        <v>113</v>
      </c>
      <c r="N10" s="690"/>
      <c r="O10" s="690"/>
      <c r="P10" s="690"/>
      <c r="Q10" s="690"/>
      <c r="R10" s="690"/>
      <c r="S10" s="690"/>
      <c r="T10" s="690"/>
      <c r="U10" s="1011"/>
      <c r="V10" s="1011"/>
    </row>
    <row r="11" spans="2:22" ht="17.399999999999999" x14ac:dyDescent="0.3">
      <c r="B11" s="106" t="s">
        <v>912</v>
      </c>
      <c r="C11" s="104">
        <v>500</v>
      </c>
      <c r="D11" s="104" t="s">
        <v>57</v>
      </c>
      <c r="E11" s="104"/>
      <c r="F11" s="104">
        <v>500</v>
      </c>
      <c r="G11" s="104" t="s">
        <v>57</v>
      </c>
      <c r="H11" s="104"/>
      <c r="I11" s="108" t="s">
        <v>902</v>
      </c>
      <c r="J11" s="108">
        <f>J10</f>
        <v>47</v>
      </c>
      <c r="K11" s="365" t="s">
        <v>7</v>
      </c>
      <c r="L11" s="690" cm="1">
        <f t="array" ref="L11:M11">IF(I11="Ja",IF('Gårdens info'!$G$56:$H$56="AB",Stöd!C11,Stöd!F11),0)</f>
        <v>500</v>
      </c>
      <c r="M11" s="690">
        <v>500</v>
      </c>
      <c r="N11" s="690"/>
      <c r="O11" s="690"/>
      <c r="P11" s="690"/>
      <c r="Q11" s="690"/>
      <c r="R11" s="690"/>
      <c r="S11" s="690"/>
      <c r="T11" s="690"/>
      <c r="U11" s="1011"/>
      <c r="V11" s="1011"/>
    </row>
    <row r="12" spans="2:22" ht="17.399999999999999" x14ac:dyDescent="0.3">
      <c r="B12" s="106" t="s">
        <v>913</v>
      </c>
      <c r="C12" s="104">
        <v>40</v>
      </c>
      <c r="D12" s="104" t="s">
        <v>57</v>
      </c>
      <c r="E12" s="104"/>
      <c r="F12" s="104">
        <v>40</v>
      </c>
      <c r="G12" s="104" t="s">
        <v>57</v>
      </c>
      <c r="H12" s="104"/>
      <c r="I12" s="108" t="s">
        <v>902</v>
      </c>
      <c r="J12" s="108">
        <f>J6</f>
        <v>47</v>
      </c>
      <c r="K12" s="365" t="s">
        <v>7</v>
      </c>
      <c r="L12" s="690" cm="1">
        <f t="array" ref="L12:M12">IF(I12="Ja",IF('Gårdens info'!$G$56:$H$56="AB",Stöd!C12,Stöd!F12),0)</f>
        <v>40</v>
      </c>
      <c r="M12" s="690">
        <v>40</v>
      </c>
      <c r="N12" s="690"/>
      <c r="O12" s="690"/>
      <c r="P12" s="690"/>
      <c r="Q12" s="690"/>
      <c r="R12" s="690"/>
      <c r="S12" s="690"/>
      <c r="T12" s="690"/>
      <c r="U12" s="1011"/>
      <c r="V12" s="1011"/>
    </row>
    <row r="13" spans="2:22" ht="21.45" customHeight="1" thickBot="1" x14ac:dyDescent="0.35">
      <c r="B13" s="105"/>
      <c r="C13" s="104"/>
      <c r="D13" s="104"/>
      <c r="E13" s="104"/>
      <c r="F13" s="104"/>
      <c r="G13" s="104"/>
      <c r="H13" s="104"/>
      <c r="I13" s="367"/>
      <c r="J13" s="297"/>
      <c r="K13" s="365"/>
      <c r="L13" s="690"/>
      <c r="M13" s="690"/>
      <c r="N13" s="690"/>
      <c r="O13" s="690"/>
      <c r="P13" s="690"/>
      <c r="Q13" s="690"/>
      <c r="R13" s="690"/>
      <c r="S13" s="690"/>
      <c r="T13" s="690"/>
      <c r="U13" s="1011"/>
      <c r="V13" s="1011"/>
    </row>
    <row r="14" spans="2:22" ht="17.399999999999999" x14ac:dyDescent="0.3">
      <c r="B14" s="106" t="s">
        <v>914</v>
      </c>
      <c r="C14" s="104">
        <f>L6+L7+L8+L9+L12</f>
        <v>459.1</v>
      </c>
      <c r="D14" s="104" t="s">
        <v>57</v>
      </c>
      <c r="E14" s="104"/>
      <c r="F14" s="104">
        <f>M6+M7+M8+M9+M12</f>
        <v>464.3</v>
      </c>
      <c r="G14" s="104" t="s">
        <v>57</v>
      </c>
      <c r="H14" s="104"/>
      <c r="I14" s="108" t="s">
        <v>902</v>
      </c>
      <c r="J14" s="108">
        <f t="shared" ref="J14:J15" si="0">J8</f>
        <v>47</v>
      </c>
      <c r="K14" s="365"/>
      <c r="L14" s="690" cm="1">
        <f t="array" ref="L14:M14">IF(I14="Ja",IF('Gårdens info'!$G$56:$H$56="AB",Stöd!C14,Stöd!F14),0)</f>
        <v>459.1</v>
      </c>
      <c r="M14" s="690">
        <v>464.3</v>
      </c>
      <c r="N14" s="690"/>
      <c r="O14" s="690"/>
      <c r="P14" s="690"/>
      <c r="Q14" s="690"/>
      <c r="R14" s="690"/>
      <c r="S14" s="690"/>
      <c r="T14" s="690"/>
      <c r="U14" s="1011"/>
      <c r="V14" s="1011"/>
    </row>
    <row r="15" spans="2:22" ht="18" thickBot="1" x14ac:dyDescent="0.35">
      <c r="B15" s="106" t="s">
        <v>915</v>
      </c>
      <c r="C15" s="104">
        <f>L6+L7+L8+L10+L11+L12</f>
        <v>1027.0999999999999</v>
      </c>
      <c r="D15" s="104" t="s">
        <v>57</v>
      </c>
      <c r="E15" s="104"/>
      <c r="F15" s="104">
        <f>M6+M7+M8+M10+M11+M12</f>
        <v>1032.3</v>
      </c>
      <c r="G15" s="104" t="s">
        <v>57</v>
      </c>
      <c r="H15" s="104"/>
      <c r="I15" s="108" t="s">
        <v>902</v>
      </c>
      <c r="J15" s="108">
        <f t="shared" si="0"/>
        <v>47</v>
      </c>
      <c r="K15" s="365"/>
      <c r="L15" s="690" cm="1">
        <f t="array" ref="L15:M15">IF(I15="Ja",IF('Gårdens info'!$G$56:$H$56="AB",Stöd!C15,Stöd!F15),0)</f>
        <v>1027.0999999999999</v>
      </c>
      <c r="M15" s="690">
        <v>1032.3</v>
      </c>
      <c r="N15" s="690"/>
      <c r="O15" s="690"/>
      <c r="P15" s="690"/>
      <c r="Q15" s="690"/>
      <c r="R15" s="690"/>
      <c r="S15" s="690"/>
      <c r="T15" s="690"/>
      <c r="U15" s="1011"/>
      <c r="V15" s="1011"/>
    </row>
    <row r="16" spans="2:22" x14ac:dyDescent="0.25">
      <c r="N16" s="1011"/>
      <c r="O16" s="1011"/>
      <c r="P16" s="1011"/>
      <c r="Q16" s="1011"/>
      <c r="R16" s="1011"/>
      <c r="S16" s="1011"/>
      <c r="T16" s="1011"/>
      <c r="U16" s="1011"/>
      <c r="V16" s="1011"/>
    </row>
    <row r="17" spans="12:22" x14ac:dyDescent="0.25">
      <c r="N17" s="1011"/>
      <c r="O17" s="1011"/>
      <c r="P17" s="1011"/>
      <c r="Q17" s="1011"/>
      <c r="R17" s="1011"/>
      <c r="S17" s="1011"/>
      <c r="T17" s="1011"/>
      <c r="U17" s="1011"/>
      <c r="V17" s="1011"/>
    </row>
    <row r="18" spans="12:22" x14ac:dyDescent="0.25">
      <c r="L18" s="14"/>
      <c r="M18" s="14"/>
      <c r="N18" s="1011"/>
      <c r="O18" s="1011"/>
      <c r="P18" s="1011"/>
      <c r="Q18" s="1011"/>
      <c r="R18" s="1011"/>
      <c r="S18" s="1011"/>
      <c r="T18" s="1011"/>
      <c r="U18" s="1011"/>
      <c r="V18" s="1011"/>
    </row>
    <row r="19" spans="12:22" x14ac:dyDescent="0.25">
      <c r="L19" s="14"/>
      <c r="M19" s="14"/>
      <c r="N19" s="1011"/>
      <c r="O19" s="1011"/>
      <c r="P19" s="1011"/>
      <c r="Q19" s="1011"/>
      <c r="R19" s="1011"/>
      <c r="S19" s="1011"/>
      <c r="T19" s="1011"/>
      <c r="U19" s="1011"/>
      <c r="V19" s="1011"/>
    </row>
  </sheetData>
  <mergeCells count="4">
    <mergeCell ref="C4:F4"/>
    <mergeCell ref="I4:I5"/>
    <mergeCell ref="B2:C2"/>
    <mergeCell ref="J4:J5"/>
  </mergeCells>
  <phoneticPr fontId="2" type="noConversion"/>
  <dataValidations count="1">
    <dataValidation type="list" allowBlank="1" showInputMessage="1" showErrorMessage="1" sqref="I6:I12 I14:I15" xr:uid="{124D7848-0B4F-9A42-B1AB-68939E928F58}">
      <formula1>$S$4:$S$5</formula1>
    </dataValidation>
  </dataValidations>
  <hyperlinks>
    <hyperlink ref="B2" location="Tilakokonaisuus!A1" display="PALAA ETUSIVULLE" xr:uid="{B3DFF9A6-92D2-DF4A-B393-90935485FA0C}"/>
    <hyperlink ref="B2:C2" location="'Gårdens info'!A1" display="TILL FRAMSIDAN" xr:uid="{39797536-7849-024A-B62C-6FC01F7FA6AC}"/>
  </hyperlinks>
  <pageMargins left="0.7" right="0.7" top="0.75" bottom="0.75" header="0.3" footer="0.3"/>
  <legacyDrawing r:id="rId1"/>
</worksheet>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31</vt:i4>
      </vt:variant>
      <vt:variant>
        <vt:lpstr>Namngivna områden</vt:lpstr>
      </vt:variant>
      <vt:variant>
        <vt:i4>2</vt:i4>
      </vt:variant>
    </vt:vector>
  </HeadingPairs>
  <TitlesOfParts>
    <vt:vector size="33" baseType="lpstr">
      <vt:lpstr>INLEDNING</vt:lpstr>
      <vt:lpstr>Gårdens info</vt:lpstr>
      <vt:lpstr>Hela gårdens lönsamhet</vt:lpstr>
      <vt:lpstr>Matpotatis</vt:lpstr>
      <vt:lpstr>Morot</vt:lpstr>
      <vt:lpstr>Kål</vt:lpstr>
      <vt:lpstr>Förkultivering av kål</vt:lpstr>
      <vt:lpstr>Insektsnät</vt:lpstr>
      <vt:lpstr>Lök</vt:lpstr>
      <vt:lpstr>Sättlök</vt:lpstr>
      <vt:lpstr>Trädgårdsärt</vt:lpstr>
      <vt:lpstr>Grönsak från frö 1</vt:lpstr>
      <vt:lpstr>Grönsak från frö 2</vt:lpstr>
      <vt:lpstr>Grönsak planterad 1</vt:lpstr>
      <vt:lpstr>Grönsak planterad 2</vt:lpstr>
      <vt:lpstr>Grönsak planterad 3</vt:lpstr>
      <vt:lpstr>Jordgubbe friland</vt:lpstr>
      <vt:lpstr>Jordgubbe tunnel</vt:lpstr>
      <vt:lpstr>Hallon friland</vt:lpstr>
      <vt:lpstr>Hallon tunnel</vt:lpstr>
      <vt:lpstr>Svarta vinbär</vt:lpstr>
      <vt:lpstr>Buskblåbär</vt:lpstr>
      <vt:lpstr>Äpple</vt:lpstr>
      <vt:lpstr>Havre</vt:lpstr>
      <vt:lpstr>Korn</vt:lpstr>
      <vt:lpstr>Vete</vt:lpstr>
      <vt:lpstr>Höstråg</vt:lpstr>
      <vt:lpstr>Naturvårdsåker</vt:lpstr>
      <vt:lpstr>Vall</vt:lpstr>
      <vt:lpstr>Egendom</vt:lpstr>
      <vt:lpstr>Stöd</vt:lpstr>
      <vt:lpstr>Annat_område</vt:lpstr>
      <vt:lpstr>HÄRIFRÅN_KOMMER_DU_TILL_KALKYLERNA</vt:lpstr>
    </vt:vector>
  </TitlesOfParts>
  <Manager/>
  <Company>MTT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Anu K.</dc:creator>
  <cp:keywords/>
  <dc:description/>
  <cp:lastModifiedBy>Eva Björkas</cp:lastModifiedBy>
  <cp:revision/>
  <dcterms:created xsi:type="dcterms:W3CDTF">2009-11-17T11:17:57Z</dcterms:created>
  <dcterms:modified xsi:type="dcterms:W3CDTF">2025-06-13T12:33:27Z</dcterms:modified>
  <cp:category/>
  <cp:contentStatus/>
</cp:coreProperties>
</file>